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scoburgde-my.sharepoint.com/personal/mic9097m_hs-coburg_de/Documents/Dokumente/Veröffentlichungen/2026-06_cci-WP-Effizienz-Marktübersicht/Grafiken/"/>
    </mc:Choice>
  </mc:AlternateContent>
  <xr:revisionPtr revIDLastSave="1320" documentId="13_ncr:1_{C2FBE322-42C1-4FE3-B758-17A5548B36FD}" xr6:coauthVersionLast="47" xr6:coauthVersionMax="47" xr10:uidLastSave="{8EB46264-D413-4285-B714-BE83D115EFEA}"/>
  <bookViews>
    <workbookView xWindow="-103" yWindow="-103" windowWidth="33120" windowHeight="18000" firstSheet="1" activeTab="1" xr2:uid="{D49FDA73-680A-4B68-B191-57B472574E31}"/>
  </bookViews>
  <sheets>
    <sheet name="_xltb_storage_" sheetId="2" state="veryHidden" r:id="rId1"/>
    <sheet name="Dat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3" i="1" l="1"/>
  <c r="W32" i="1"/>
  <c r="W31" i="1"/>
  <c r="W30" i="1"/>
  <c r="V33" i="1"/>
  <c r="V32" i="1"/>
  <c r="V31" i="1"/>
  <c r="V30" i="1"/>
  <c r="R33" i="1"/>
  <c r="R32" i="1"/>
  <c r="R31" i="1"/>
  <c r="R30" i="1"/>
  <c r="AE33" i="1"/>
  <c r="AE32" i="1"/>
  <c r="AE31" i="1"/>
  <c r="AE30" i="1"/>
  <c r="AD33" i="1"/>
  <c r="AD32" i="1"/>
  <c r="AD31" i="1"/>
  <c r="AD30" i="1"/>
  <c r="AC33" i="1"/>
  <c r="AC32" i="1"/>
  <c r="AC31" i="1"/>
  <c r="AC30" i="1"/>
  <c r="X33" i="1"/>
  <c r="X32" i="1"/>
  <c r="X31" i="1"/>
  <c r="X30" i="1"/>
  <c r="I33" i="1"/>
  <c r="I32" i="1"/>
  <c r="I31" i="1"/>
  <c r="I30" i="1"/>
  <c r="H3" i="1" l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3" i="1"/>
  <c r="E33" i="1" l="1"/>
  <c r="E32" i="1"/>
  <c r="E31" i="1"/>
  <c r="E30" i="1"/>
  <c r="H33" i="1"/>
  <c r="H32" i="1"/>
  <c r="H31" i="1"/>
  <c r="H30" i="1"/>
  <c r="K13" i="1"/>
  <c r="L13" i="1" s="1"/>
  <c r="N13" i="1"/>
  <c r="AB13" i="1"/>
  <c r="Q27" i="1" l="1"/>
  <c r="Q25" i="1"/>
  <c r="Q24" i="1"/>
  <c r="Q23" i="1"/>
  <c r="Q20" i="1" l="1"/>
  <c r="Z33" i="1"/>
  <c r="Z32" i="1"/>
  <c r="Z31" i="1"/>
  <c r="Z30" i="1"/>
  <c r="Y33" i="1"/>
  <c r="Y32" i="1"/>
  <c r="Y31" i="1"/>
  <c r="Y30" i="1"/>
  <c r="Q21" i="1"/>
  <c r="Q18" i="1"/>
  <c r="Q17" i="1"/>
  <c r="Q16" i="1"/>
  <c r="Q15" i="1"/>
  <c r="Q12" i="1"/>
  <c r="Q11" i="1"/>
  <c r="Q10" i="1"/>
  <c r="Q9" i="1"/>
  <c r="Q8" i="1"/>
  <c r="Q7" i="1"/>
  <c r="Q6" i="1"/>
  <c r="S6" i="1" s="1"/>
  <c r="AG3" i="1"/>
  <c r="AF3" i="1"/>
  <c r="S7" i="1" l="1"/>
  <c r="S8" i="1"/>
  <c r="S9" i="1"/>
  <c r="S11" i="1"/>
  <c r="S12" i="1"/>
  <c r="S15" i="1"/>
  <c r="S16" i="1"/>
  <c r="S24" i="1"/>
  <c r="S25" i="1"/>
  <c r="S26" i="1"/>
  <c r="AF24" i="1"/>
  <c r="AG24" i="1"/>
  <c r="AF25" i="1"/>
  <c r="AG25" i="1"/>
  <c r="AF26" i="1"/>
  <c r="AG26" i="1"/>
  <c r="AF27" i="1"/>
  <c r="AG27" i="1"/>
  <c r="AF13" i="1"/>
  <c r="AG13" i="1"/>
  <c r="Q5" i="1"/>
  <c r="S5" i="1" s="1"/>
  <c r="Q4" i="1"/>
  <c r="S4" i="1" s="1"/>
  <c r="Q3" i="1"/>
  <c r="S3" i="1" s="1"/>
  <c r="Q14" i="1"/>
  <c r="S14" i="1" s="1"/>
  <c r="Q19" i="1"/>
  <c r="S19" i="1" s="1"/>
  <c r="Q22" i="1"/>
  <c r="S22" i="1" s="1"/>
  <c r="S33" i="1" l="1"/>
  <c r="S32" i="1"/>
  <c r="S31" i="1"/>
  <c r="S30" i="1"/>
  <c r="Q30" i="1"/>
  <c r="Q31" i="1"/>
  <c r="Q33" i="1"/>
  <c r="Q32" i="1"/>
  <c r="AF4" i="1"/>
  <c r="AG4" i="1"/>
  <c r="AF5" i="1"/>
  <c r="AG5" i="1"/>
  <c r="AF6" i="1"/>
  <c r="AG6" i="1"/>
  <c r="AF7" i="1"/>
  <c r="AG7" i="1"/>
  <c r="AF8" i="1"/>
  <c r="AG8" i="1"/>
  <c r="AF9" i="1"/>
  <c r="AG9" i="1"/>
  <c r="AF10" i="1"/>
  <c r="AG10" i="1"/>
  <c r="AF11" i="1"/>
  <c r="AG11" i="1"/>
  <c r="AF12" i="1"/>
  <c r="AG12" i="1"/>
  <c r="AF14" i="1"/>
  <c r="AG14" i="1"/>
  <c r="AF15" i="1"/>
  <c r="AG15" i="1"/>
  <c r="AF16" i="1"/>
  <c r="AG16" i="1"/>
  <c r="AF17" i="1"/>
  <c r="AG17" i="1"/>
  <c r="AF18" i="1"/>
  <c r="AG18" i="1"/>
  <c r="AF19" i="1"/>
  <c r="AG19" i="1"/>
  <c r="AF20" i="1"/>
  <c r="AG20" i="1"/>
  <c r="AF21" i="1"/>
  <c r="AG21" i="1"/>
  <c r="AF22" i="1"/>
  <c r="AG22" i="1"/>
  <c r="AF23" i="1"/>
  <c r="AG23" i="1"/>
  <c r="F33" i="1"/>
  <c r="F32" i="1"/>
  <c r="F31" i="1"/>
  <c r="F30" i="1"/>
  <c r="C33" i="1"/>
  <c r="C32" i="1"/>
  <c r="C31" i="1"/>
  <c r="C30" i="1"/>
  <c r="J32" i="1"/>
  <c r="AA32" i="1"/>
  <c r="G32" i="1"/>
  <c r="D32" i="1"/>
  <c r="D31" i="1"/>
  <c r="J33" i="1"/>
  <c r="J31" i="1"/>
  <c r="J30" i="1"/>
  <c r="N3" i="1"/>
  <c r="AB3" i="1"/>
  <c r="N4" i="1"/>
  <c r="N5" i="1"/>
  <c r="N6" i="1"/>
  <c r="N7" i="1"/>
  <c r="N8" i="1"/>
  <c r="N9" i="1"/>
  <c r="N10" i="1"/>
  <c r="N11" i="1"/>
  <c r="N12" i="1"/>
  <c r="N14" i="1"/>
  <c r="N15" i="1"/>
  <c r="N16" i="1"/>
  <c r="N17" i="1"/>
  <c r="N18" i="1"/>
  <c r="N19" i="1"/>
  <c r="N20" i="1"/>
  <c r="N21" i="1"/>
  <c r="N22" i="1"/>
  <c r="N24" i="1"/>
  <c r="N25" i="1"/>
  <c r="N26" i="1"/>
  <c r="N27" i="1"/>
  <c r="AB4" i="1"/>
  <c r="AB5" i="1"/>
  <c r="AB6" i="1"/>
  <c r="AB7" i="1"/>
  <c r="AB8" i="1"/>
  <c r="AB9" i="1"/>
  <c r="AB10" i="1"/>
  <c r="AB11" i="1"/>
  <c r="AB12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K11" i="1"/>
  <c r="L11" i="1" s="1"/>
  <c r="AG30" i="1" l="1"/>
  <c r="AG32" i="1"/>
  <c r="AG33" i="1"/>
  <c r="AG31" i="1"/>
  <c r="AF33" i="1"/>
  <c r="AF32" i="1"/>
  <c r="AF31" i="1"/>
  <c r="AF30" i="1"/>
  <c r="AB32" i="1"/>
  <c r="AA33" i="1"/>
  <c r="AA31" i="1"/>
  <c r="AA30" i="1"/>
  <c r="K27" i="1"/>
  <c r="L27" i="1" s="1"/>
  <c r="K26" i="1"/>
  <c r="L26" i="1" s="1"/>
  <c r="K20" i="1"/>
  <c r="L20" i="1" s="1"/>
  <c r="K25" i="1"/>
  <c r="L25" i="1" s="1"/>
  <c r="K24" i="1"/>
  <c r="L24" i="1" s="1"/>
  <c r="M23" i="1"/>
  <c r="K23" i="1"/>
  <c r="L23" i="1" s="1"/>
  <c r="K22" i="1"/>
  <c r="L22" i="1" s="1"/>
  <c r="K21" i="1"/>
  <c r="L21" i="1" s="1"/>
  <c r="K19" i="1"/>
  <c r="L19" i="1" s="1"/>
  <c r="K18" i="1"/>
  <c r="L18" i="1" s="1"/>
  <c r="K17" i="1"/>
  <c r="L17" i="1" s="1"/>
  <c r="K16" i="1"/>
  <c r="L16" i="1" s="1"/>
  <c r="G33" i="1"/>
  <c r="G31" i="1"/>
  <c r="G30" i="1"/>
  <c r="D33" i="1"/>
  <c r="D30" i="1"/>
  <c r="K14" i="1"/>
  <c r="L14" i="1" s="1"/>
  <c r="K12" i="1"/>
  <c r="L12" i="1" s="1"/>
  <c r="K8" i="1"/>
  <c r="L8" i="1" s="1"/>
  <c r="K15" i="1"/>
  <c r="L15" i="1" s="1"/>
  <c r="K10" i="1"/>
  <c r="L10" i="1" s="1"/>
  <c r="K9" i="1"/>
  <c r="L9" i="1" s="1"/>
  <c r="K7" i="1"/>
  <c r="L7" i="1" s="1"/>
  <c r="K6" i="1"/>
  <c r="L6" i="1" s="1"/>
  <c r="K5" i="1"/>
  <c r="L5" i="1" s="1"/>
  <c r="K4" i="1"/>
  <c r="L4" i="1" s="1"/>
  <c r="K3" i="1"/>
  <c r="N23" i="1" l="1"/>
  <c r="N32" i="1" s="1"/>
  <c r="M32" i="1"/>
  <c r="L3" i="1"/>
  <c r="L32" i="1" s="1"/>
  <c r="K32" i="1"/>
  <c r="M33" i="1"/>
  <c r="M31" i="1"/>
  <c r="AB31" i="1"/>
  <c r="AB33" i="1"/>
  <c r="K33" i="1"/>
  <c r="AB30" i="1"/>
  <c r="M30" i="1"/>
  <c r="K30" i="1"/>
  <c r="K31" i="1"/>
  <c r="L33" i="1" l="1"/>
  <c r="L31" i="1"/>
  <c r="N31" i="1"/>
  <c r="N30" i="1"/>
  <c r="N33" i="1"/>
  <c r="L30" i="1"/>
</calcChain>
</file>

<file path=xl/sharedStrings.xml><?xml version="1.0" encoding="utf-8"?>
<sst xmlns="http://schemas.openxmlformats.org/spreadsheetml/2006/main" count="174" uniqueCount="94">
  <si>
    <t>Produkt</t>
  </si>
  <si>
    <t>in kW</t>
  </si>
  <si>
    <t>Ovum AC417P</t>
  </si>
  <si>
    <t>Heliotherm SNT15L</t>
  </si>
  <si>
    <t>Wolf CHA-16/20</t>
  </si>
  <si>
    <t>REMKO WKM 175 Pro</t>
  </si>
  <si>
    <t>Panasonic AQUAREA WH-WXG12ME8</t>
  </si>
  <si>
    <t>in m³</t>
  </si>
  <si>
    <t>in kg</t>
  </si>
  <si>
    <t>Verdichter</t>
  </si>
  <si>
    <t>Scroll</t>
  </si>
  <si>
    <t>Gewicht ODU</t>
  </si>
  <si>
    <t>R290</t>
  </si>
  <si>
    <r>
      <t>SCOP</t>
    </r>
    <r>
      <rPr>
        <b/>
        <vertAlign val="subscript"/>
        <sz val="11"/>
        <color theme="1"/>
        <rFont val="Roboto Light"/>
      </rPr>
      <t>35</t>
    </r>
  </si>
  <si>
    <r>
      <t>SCOP</t>
    </r>
    <r>
      <rPr>
        <b/>
        <vertAlign val="subscript"/>
        <sz val="11"/>
        <color theme="1"/>
        <rFont val="Roboto Light"/>
      </rPr>
      <t>55</t>
    </r>
  </si>
  <si>
    <t>in m²</t>
  </si>
  <si>
    <t>Volumen ODU</t>
  </si>
  <si>
    <t>SOLARFOCUS vamp air PRO 15</t>
  </si>
  <si>
    <t>Solvis Lea 10 Pro</t>
  </si>
  <si>
    <t>Austria Email LWPM/K 14 PRO</t>
  </si>
  <si>
    <t>Doppel-Rollkolben</t>
  </si>
  <si>
    <t>Viessmann Vitocal 250-A 13</t>
  </si>
  <si>
    <t>Min</t>
  </si>
  <si>
    <t>Mittel</t>
  </si>
  <si>
    <t>Max</t>
  </si>
  <si>
    <t>Hinweise</t>
  </si>
  <si>
    <t>LG Therma V HM163HF UB60</t>
  </si>
  <si>
    <t>Vaillant aroTHERM plus VWL 125/6 A S2</t>
  </si>
  <si>
    <t>Hitachi airH2O 800M RASM-6TW2E</t>
  </si>
  <si>
    <t>BAFA-Liste 09/2025</t>
  </si>
  <si>
    <t>#</t>
  </si>
  <si>
    <t>Templari KITA MP-18</t>
  </si>
  <si>
    <r>
      <t>in g/kW</t>
    </r>
    <r>
      <rPr>
        <b/>
        <vertAlign val="subscript"/>
        <sz val="11"/>
        <color theme="1"/>
        <rFont val="Roboto Light"/>
      </rPr>
      <t>35</t>
    </r>
  </si>
  <si>
    <r>
      <t>in kg/kW</t>
    </r>
    <r>
      <rPr>
        <b/>
        <vertAlign val="subscript"/>
        <sz val="11"/>
        <color theme="1"/>
        <rFont val="Roboto Light"/>
      </rPr>
      <t>35</t>
    </r>
  </si>
  <si>
    <r>
      <t>in dm³/kW</t>
    </r>
    <r>
      <rPr>
        <b/>
        <vertAlign val="subscript"/>
        <sz val="11"/>
        <color theme="1"/>
        <rFont val="Roboto Light"/>
      </rPr>
      <t>35</t>
    </r>
  </si>
  <si>
    <t>XL Toolbox Settings</t>
  </si>
  <si>
    <t>export_preset</t>
  </si>
  <si>
    <t>export_path</t>
  </si>
  <si>
    <t>Median</t>
  </si>
  <si>
    <t>Form</t>
  </si>
  <si>
    <t>L</t>
  </si>
  <si>
    <t>I</t>
  </si>
  <si>
    <t>C</t>
  </si>
  <si>
    <t>Verdampfer (ca.)</t>
  </si>
  <si>
    <t>Reihen</t>
  </si>
  <si>
    <t>Position</t>
  </si>
  <si>
    <t>neben</t>
  </si>
  <si>
    <t>über</t>
  </si>
  <si>
    <t>Lambda EU15L
Zewotherm ZewoLambda EU15L
Ritter Energie WP Aero Calima 15</t>
  </si>
  <si>
    <t>iDM AERO ALM 6-15
Hoval Belaria pro comfort (15)</t>
  </si>
  <si>
    <t>Kermi x-change dynamic pro L
Heim dynamic LWMapro L</t>
  </si>
  <si>
    <t>M-TEC AHPA618
Eqtherm EQ AIR Compact PRO 618</t>
  </si>
  <si>
    <t>alpha innotec Hybrox 16
Novelan Helox 16
Roth ThermoAura FR 16
CTA Aeroheat AH CL 16a</t>
  </si>
  <si>
    <t>Midea Thermal Nature MHC-V12WD2RN7-B
Enpal EODU-V12-M1-AW-9E</t>
  </si>
  <si>
    <t>Stiebel Eltron WPL-A 13.2 Plus HK 400
Tecalor TTL 13.1 AC comfort</t>
  </si>
  <si>
    <t>Samsung EHS Mono HT AE120CXYDGK/EU
OCHSNER AIR MILAN 1016 C11A
Thermia iTec XTR L</t>
  </si>
  <si>
    <t>falls mehrere Produkte und/oder Baugrößen eines Herstellers in der Leistungsklasse ca. 12 bis 15 kW angeboten werden, wurde das effizienteste Modell gewählt</t>
  </si>
  <si>
    <t>MAXA i-290 0115
Climer ACPRO15</t>
  </si>
  <si>
    <t>Bosch Compress AW 12 OR-T
Buderus Logatherm WLW-12 MB AR</t>
  </si>
  <si>
    <t>CTC EcoAir 720 M
Waterkotte EcoTouch Air Bloc 7016</t>
  </si>
  <si>
    <t>Typ</t>
  </si>
  <si>
    <t>°C</t>
  </si>
  <si>
    <t>TOL</t>
  </si>
  <si>
    <t>interner WÜ</t>
  </si>
  <si>
    <r>
      <t>P</t>
    </r>
    <r>
      <rPr>
        <b/>
        <vertAlign val="subscript"/>
        <sz val="11"/>
        <color theme="1"/>
        <rFont val="Roboto Light"/>
      </rPr>
      <t>h,max,A-7/W55</t>
    </r>
  </si>
  <si>
    <r>
      <t>P</t>
    </r>
    <r>
      <rPr>
        <b/>
        <vertAlign val="subscript"/>
        <sz val="11"/>
        <color theme="1"/>
        <rFont val="Roboto Light"/>
      </rPr>
      <t>h,max,A-7/W35</t>
    </r>
  </si>
  <si>
    <r>
      <t>P</t>
    </r>
    <r>
      <rPr>
        <b/>
        <vertAlign val="subscript"/>
        <sz val="11"/>
        <color theme="1"/>
        <rFont val="Roboto Light"/>
      </rPr>
      <t>h,min,A7/W35</t>
    </r>
  </si>
  <si>
    <r>
      <t>SEER</t>
    </r>
    <r>
      <rPr>
        <b/>
        <vertAlign val="subscript"/>
        <sz val="11"/>
        <color theme="1"/>
        <rFont val="Roboto Light"/>
      </rPr>
      <t>18</t>
    </r>
  </si>
  <si>
    <r>
      <t>P</t>
    </r>
    <r>
      <rPr>
        <b/>
        <vertAlign val="subscript"/>
        <sz val="11"/>
        <color theme="1"/>
        <rFont val="Roboto Light"/>
      </rPr>
      <t>c,Nenn,A35/W18</t>
    </r>
  </si>
  <si>
    <r>
      <t>EER</t>
    </r>
    <r>
      <rPr>
        <b/>
        <vertAlign val="subscript"/>
        <sz val="11"/>
        <color theme="1"/>
        <rFont val="Roboto Light"/>
      </rPr>
      <t>Nenn,A35/W18</t>
    </r>
  </si>
  <si>
    <t>keine</t>
  </si>
  <si>
    <t>Economizer</t>
  </si>
  <si>
    <t>Daikin Altherma 4 H EPSK14AW1</t>
  </si>
  <si>
    <t>1I, 2L</t>
  </si>
  <si>
    <r>
      <rPr>
        <b/>
        <sz val="11"/>
        <color theme="1"/>
        <rFont val="Lucida Sans Unicode"/>
        <family val="2"/>
      </rPr>
      <t>η</t>
    </r>
    <r>
      <rPr>
        <b/>
        <vertAlign val="subscript"/>
        <sz val="11"/>
        <color theme="1"/>
        <rFont val="Roboto Light"/>
      </rPr>
      <t>S,35</t>
    </r>
  </si>
  <si>
    <r>
      <rPr>
        <b/>
        <sz val="11"/>
        <color theme="1"/>
        <rFont val="Lucida Sans Unicode"/>
        <family val="2"/>
      </rPr>
      <t>η</t>
    </r>
    <r>
      <rPr>
        <b/>
        <vertAlign val="subscript"/>
        <sz val="11"/>
        <color theme="1"/>
        <rFont val="Roboto Light"/>
      </rPr>
      <t>S,55</t>
    </r>
  </si>
  <si>
    <t>in %</t>
  </si>
  <si>
    <r>
      <t>P</t>
    </r>
    <r>
      <rPr>
        <b/>
        <vertAlign val="subscript"/>
        <sz val="11"/>
        <color theme="1"/>
        <rFont val="Roboto Light"/>
      </rPr>
      <t>rated,h,35</t>
    </r>
  </si>
  <si>
    <r>
      <t>P</t>
    </r>
    <r>
      <rPr>
        <b/>
        <vertAlign val="subscript"/>
        <sz val="11"/>
        <color theme="1"/>
        <rFont val="Roboto Light"/>
      </rPr>
      <t>rated,h,55</t>
    </r>
  </si>
  <si>
    <t>(Bezeichnungen vereinfacht, Irrtümer vorbehalten!)</t>
  </si>
  <si>
    <t>max</t>
  </si>
  <si>
    <t>ErP</t>
  </si>
  <si>
    <t>Schalleistung in dB(A)</t>
  </si>
  <si>
    <t>Heißgas-Auskoppelung</t>
  </si>
  <si>
    <t>m² · Reihen</t>
  </si>
  <si>
    <r>
      <t>T</t>
    </r>
    <r>
      <rPr>
        <b/>
        <vertAlign val="subscript"/>
        <sz val="11"/>
        <color theme="1"/>
        <rFont val="Roboto Light"/>
      </rPr>
      <t>VL,max,A-10</t>
    </r>
  </si>
  <si>
    <t>Effizienz-Bauteile
Kältekreis</t>
  </si>
  <si>
    <t>Modulation Max/Min</t>
  </si>
  <si>
    <r>
      <t>P</t>
    </r>
    <r>
      <rPr>
        <b/>
        <vertAlign val="subscript"/>
        <sz val="11"/>
        <color theme="1"/>
        <rFont val="Roboto Light"/>
      </rPr>
      <t>h,W55</t>
    </r>
  </si>
  <si>
    <r>
      <t>P</t>
    </r>
    <r>
      <rPr>
        <b/>
        <vertAlign val="subscript"/>
        <sz val="11"/>
        <color theme="1"/>
        <rFont val="Roboto Light"/>
      </rPr>
      <t>h,W35</t>
    </r>
  </si>
  <si>
    <t>Quellen:</t>
  </si>
  <si>
    <r>
      <t xml:space="preserve">Herstellerangaben | </t>
    </r>
    <r>
      <rPr>
        <sz val="11"/>
        <color rgb="FFC00000"/>
        <rFont val="Roboto Light"/>
      </rPr>
      <t>Rot: grafisch ermittelt</t>
    </r>
    <r>
      <rPr>
        <sz val="11"/>
        <color theme="1"/>
        <rFont val="Roboto Light"/>
        <family val="2"/>
      </rPr>
      <t xml:space="preserve">, </t>
    </r>
    <r>
      <rPr>
        <sz val="11"/>
        <color rgb="FFFF66FF"/>
        <rFont val="Roboto Light"/>
      </rPr>
      <t>Pink: grafisch ermittelt mit hoher Unsicherheit</t>
    </r>
    <r>
      <rPr>
        <sz val="11"/>
        <color theme="1"/>
        <rFont val="Roboto Light"/>
        <family val="2"/>
      </rPr>
      <t xml:space="preserve">, </t>
    </r>
    <r>
      <rPr>
        <sz val="11"/>
        <color theme="3" tint="0.499984740745262"/>
        <rFont val="Roboto Light"/>
      </rPr>
      <t>Blau: nächstligende Angabe</t>
    </r>
  </si>
  <si>
    <t>&lt;?xml version="1.0" encoding="utf-16"?&gt;_x000D_
&lt;Preset xmlns:xsd="http://www.w3.org/2001/XMLSchema" xmlns:xsi="http://www.w3.org/2001/XMLSchema-instance"&gt;_x000D_
  &lt;Name&gt;Png, 600 dpi, RGB, Weiße Leinwand&lt;/Name&gt;_x000D_
  &lt;Dpi&gt;900&lt;/Dpi&gt;_x000D_
  &lt;FileType&gt;Png&lt;/FileType&gt;_x000D_
  &lt;ColorSpace&gt;Rgb&lt;/ColorSpace&gt;_x000D_
  &lt;Transparency&gt;WhiteCanvas&lt;/Transparency&gt;_x000D_
  &lt;UseColorProfile&gt;false&lt;/UseColorProfile&gt;_x000D_
  &lt;ColorProfile&gt;ProPhoto&lt;/ColorProfile&gt;_x000D_
&lt;/Preset&gt;</t>
  </si>
  <si>
    <t>C:\Users\mic9097m\OneDrive - Hochschule Coburg\Dokumente\Veröffentlichungen\2026-06_cci-WP-Effizienz-Marktübersicht\Grafiken\Tabelle_geteilt_01.png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</si>
</sst>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Roboto Light"/>
      <family val="2"/>
    </font>
    <font>
      <b/>
      <sz val="11"/>
      <color theme="1"/>
      <name val="Roboto Light"/>
    </font>
    <font>
      <b/>
      <vertAlign val="subscript"/>
      <sz val="11"/>
      <color theme="1"/>
      <name val="Roboto Light"/>
    </font>
    <font>
      <b/>
      <sz val="11"/>
      <color theme="0" tint="-0.499984740745262"/>
      <name val="Roboto Light"/>
    </font>
    <font>
      <sz val="11"/>
      <color rgb="FFC00000"/>
      <name val="Roboto Light"/>
      <family val="2"/>
    </font>
    <font>
      <u/>
      <sz val="11"/>
      <color theme="1"/>
      <name val="Roboto Light"/>
      <family val="2"/>
    </font>
    <font>
      <sz val="11"/>
      <name val="Roboto Light"/>
      <family val="2"/>
    </font>
    <font>
      <sz val="11"/>
      <color rgb="FF0070C0"/>
      <name val="Roboto Light"/>
      <family val="2"/>
    </font>
    <font>
      <sz val="11"/>
      <color rgb="FFFF66FF"/>
      <name val="Roboto Light"/>
    </font>
    <font>
      <sz val="11"/>
      <name val="Roboto Light"/>
    </font>
    <font>
      <b/>
      <sz val="11"/>
      <name val="Roboto Light"/>
    </font>
    <font>
      <sz val="11"/>
      <color rgb="FFC00000"/>
      <name val="Roboto Light"/>
    </font>
    <font>
      <sz val="11"/>
      <color theme="3" tint="0.499984740745262"/>
      <name val="Roboto Light"/>
      <family val="2"/>
    </font>
    <font>
      <sz val="11"/>
      <color theme="3" tint="0.499984740745262"/>
      <name val="Roboto Light"/>
    </font>
    <font>
      <sz val="11"/>
      <color theme="1"/>
      <name val="Roboto Light"/>
    </font>
    <font>
      <b/>
      <sz val="11"/>
      <color theme="1"/>
      <name val="Roboto Light"/>
      <family val="2"/>
    </font>
    <font>
      <b/>
      <sz val="11"/>
      <color theme="1"/>
      <name val="Lucida Sans Unicode"/>
      <family val="2"/>
    </font>
    <font>
      <i/>
      <sz val="10"/>
      <color theme="1"/>
      <name val="Roboto Light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" fontId="14" fillId="0" borderId="0" xfId="0" applyNumberFormat="1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Daten!$K$1</c:f>
              <c:strCache>
                <c:ptCount val="1"/>
                <c:pt idx="0">
                  <c:v>Volumen ODU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noFill/>
              </a:ln>
              <a:effectLst/>
            </c:spPr>
          </c:marker>
          <c:xVal>
            <c:numRef>
              <c:f>Daten!$L$3:$L$27</c:f>
              <c:numCache>
                <c:formatCode>0</c:formatCode>
                <c:ptCount val="25"/>
                <c:pt idx="0">
                  <c:v>104.77767540983608</c:v>
                </c:pt>
                <c:pt idx="1">
                  <c:v>66.063000000000002</c:v>
                </c:pt>
                <c:pt idx="2">
                  <c:v>106.30351600000002</c:v>
                </c:pt>
                <c:pt idx="3">
                  <c:v>149.42025000000001</c:v>
                </c:pt>
                <c:pt idx="4">
                  <c:v>137.57285714285717</c:v>
                </c:pt>
                <c:pt idx="5">
                  <c:v>88.72664473684209</c:v>
                </c:pt>
                <c:pt idx="6">
                  <c:v>119.34</c:v>
                </c:pt>
                <c:pt idx="7">
                  <c:v>77.683782857142845</c:v>
                </c:pt>
                <c:pt idx="8">
                  <c:v>64.482593599999987</c:v>
                </c:pt>
                <c:pt idx="9">
                  <c:v>93.041978879310363</c:v>
                </c:pt>
                <c:pt idx="10">
                  <c:v>76.268123875000015</c:v>
                </c:pt>
                <c:pt idx="11">
                  <c:v>76.500387096774176</c:v>
                </c:pt>
                <c:pt idx="12">
                  <c:v>68.884399999999999</c:v>
                </c:pt>
                <c:pt idx="13">
                  <c:v>68.18807692307692</c:v>
                </c:pt>
                <c:pt idx="14">
                  <c:v>81.089579999999998</c:v>
                </c:pt>
                <c:pt idx="15">
                  <c:v>75.177363333333332</c:v>
                </c:pt>
                <c:pt idx="16">
                  <c:v>54.873491735537193</c:v>
                </c:pt>
                <c:pt idx="17">
                  <c:v>79.524339041095871</c:v>
                </c:pt>
                <c:pt idx="18">
                  <c:v>59.590384615384615</c:v>
                </c:pt>
                <c:pt idx="19">
                  <c:v>57.101316666666676</c:v>
                </c:pt>
                <c:pt idx="20">
                  <c:v>53.403287671232874</c:v>
                </c:pt>
                <c:pt idx="21">
                  <c:v>65.359999999999985</c:v>
                </c:pt>
                <c:pt idx="22">
                  <c:v>66.825000000000017</c:v>
                </c:pt>
                <c:pt idx="23">
                  <c:v>46.003384615384604</c:v>
                </c:pt>
                <c:pt idx="24">
                  <c:v>79.012623529411769</c:v>
                </c:pt>
              </c:numCache>
            </c:numRef>
          </c:xVal>
          <c:yVal>
            <c:numRef>
              <c:f>Daten!$D$3:$D$27</c:f>
              <c:numCache>
                <c:formatCode>0.00</c:formatCode>
                <c:ptCount val="25"/>
                <c:pt idx="0">
                  <c:v>5.9</c:v>
                </c:pt>
                <c:pt idx="1">
                  <c:v>5.73</c:v>
                </c:pt>
                <c:pt idx="2">
                  <c:v>5.72</c:v>
                </c:pt>
                <c:pt idx="3">
                  <c:v>5.58</c:v>
                </c:pt>
                <c:pt idx="4">
                  <c:v>5.52</c:v>
                </c:pt>
                <c:pt idx="5">
                  <c:v>5.49</c:v>
                </c:pt>
                <c:pt idx="6">
                  <c:v>5.45</c:v>
                </c:pt>
                <c:pt idx="7">
                  <c:v>5.43</c:v>
                </c:pt>
                <c:pt idx="8">
                  <c:v>5.375</c:v>
                </c:pt>
                <c:pt idx="9">
                  <c:v>5.35</c:v>
                </c:pt>
                <c:pt idx="10">
                  <c:v>5.16</c:v>
                </c:pt>
                <c:pt idx="11">
                  <c:v>5.0999999999999996</c:v>
                </c:pt>
                <c:pt idx="12">
                  <c:v>5.0999999999999996</c:v>
                </c:pt>
                <c:pt idx="13">
                  <c:v>4.9550000000000001</c:v>
                </c:pt>
                <c:pt idx="14">
                  <c:v>4.95</c:v>
                </c:pt>
                <c:pt idx="15">
                  <c:v>4.95</c:v>
                </c:pt>
                <c:pt idx="16">
                  <c:v>4.9249999999999998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4.8499999999999996</c:v>
                </c:pt>
                <c:pt idx="21">
                  <c:v>4.7300000000000004</c:v>
                </c:pt>
                <c:pt idx="22">
                  <c:v>4.6749999999999998</c:v>
                </c:pt>
                <c:pt idx="23">
                  <c:v>4.55</c:v>
                </c:pt>
                <c:pt idx="24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7F-48F1-B206-33B0E9D2C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7701055"/>
        <c:axId val="1737705375"/>
      </c:scatterChart>
      <c:valAx>
        <c:axId val="1737701055"/>
        <c:scaling>
          <c:orientation val="minMax"/>
          <c:max val="150"/>
          <c:min val="4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Volumen</a:t>
                </a:r>
                <a:r>
                  <a:rPr lang="de-DE" baseline="0"/>
                  <a:t> Außeneinheit in dm³/kW (bezogen auf P</a:t>
                </a:r>
                <a:r>
                  <a:rPr lang="de-DE" baseline="-25000"/>
                  <a:t>rated,h,35</a:t>
                </a:r>
                <a:r>
                  <a:rPr lang="de-DE" baseline="0"/>
                  <a:t>)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5375"/>
        <c:crosses val="autoZero"/>
        <c:crossBetween val="midCat"/>
        <c:majorUnit val="25"/>
        <c:minorUnit val="5"/>
      </c:valAx>
      <c:valAx>
        <c:axId val="1737705375"/>
        <c:scaling>
          <c:orientation val="minMax"/>
          <c:max val="5.9"/>
          <c:min val="3.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SCOP</a:t>
                </a:r>
                <a:r>
                  <a:rPr lang="de-DE" baseline="-25000"/>
                  <a:t>35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.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1055"/>
        <c:crosses val="autoZero"/>
        <c:crossBetween val="midCat"/>
        <c:majorUnit val="0.2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Daten!$K$1</c:f>
              <c:strCache>
                <c:ptCount val="1"/>
                <c:pt idx="0">
                  <c:v>Volumen ODU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4E52957A-3390-422D-AFF3-E5BB3FC0E2E8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7FE5-4C73-ABE2-98CACB49874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2D19AEF-FA0D-40BB-B7E8-7A1D1BC6A42E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FE5-4C73-ABE2-98CACB49874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BFAE5CF-AD41-4794-8FC0-180B8B995E0A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FE5-4C73-ABE2-98CACB49874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4E76240-F1B8-44BD-AE83-09DF6F2528E2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FE5-4C73-ABE2-98CACB49874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E7BBB4B-3016-4168-9428-0CBA7FA6D8B0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FE5-4C73-ABE2-98CACB49874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F35E631-D005-4DD4-AFBD-400D7182F444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FE5-4C73-ABE2-98CACB49874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CA0FE21-C7C1-44F9-A303-E36AF1775559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FE5-4C73-ABE2-98CACB49874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37BBC83-CBD6-4A03-8404-996CF87689CE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FE5-4C73-ABE2-98CACB49874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7E98EBF-C798-4A15-A302-0D9DFF56E492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FE5-4C73-ABE2-98CACB49874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56A5933-A336-4B2A-9C87-FC29CBB77AC2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FE5-4C73-ABE2-98CACB49874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C372507-E360-4E84-A3D7-BBEDAAE057F6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7FE5-4C73-ABE2-98CACB49874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6EC3B34E-2982-497A-A47A-580C40A7B5B7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7FE5-4C73-ABE2-98CACB49874A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FFB6C01-8872-4F72-8ECC-0C46DBB80CB9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7FE5-4C73-ABE2-98CACB49874A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0CA96259-28AE-49D3-ABDA-A01F163261F6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7FE5-4C73-ABE2-98CACB49874A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44BD2CAD-82FF-43A6-ABA0-AB67AD5265AA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7FE5-4C73-ABE2-98CACB49874A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CE58CA8-1980-40C8-BAE5-0F647EE205EE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7FE5-4C73-ABE2-98CACB49874A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2829F22B-70F5-4E39-ABB3-87D336E5805D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7FE5-4C73-ABE2-98CACB49874A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78D5720C-6B52-4BA8-A58D-B2CCA7735A8B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7FE5-4C73-ABE2-98CACB49874A}"/>
                </c:ext>
              </c:extLst>
            </c:dLbl>
            <c:dLbl>
              <c:idx val="18"/>
              <c:tx>
                <c:strRef>
                  <c:f>Daten!$A$17</c:f>
                  <c:strCache>
                    <c:ptCount val="1"/>
                    <c:pt idx="0">
                      <c:v>15</c:v>
                    </c:pt>
                  </c:strCache>
                </c:strRef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{CC48E7C1-BC8E-4E31-AC10-5737EF5FCB00}</c15:txfldGUID>
                      <c15:f>Daten!$A$17</c15:f>
                      <c15:dlblFieldTableCache>
                        <c:ptCount val="1"/>
                        <c:pt idx="0">
                          <c:v>15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12-7FE5-4C73-ABE2-98CACB49874A}"/>
                </c:ext>
              </c:extLst>
            </c:dLbl>
            <c:dLbl>
              <c:idx val="19"/>
              <c:tx>
                <c:strRef>
                  <c:f>Daten!$A$18</c:f>
                  <c:strCache>
                    <c:ptCount val="1"/>
                    <c:pt idx="0">
                      <c:v>16</c:v>
                    </c:pt>
                  </c:strCache>
                </c:strRef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{8FCC9F96-07BD-44F5-858D-20A0FAD6E7E0}</c15:txfldGUID>
                      <c15:f>Daten!$A$18</c15:f>
                      <c15:dlblFieldTableCache>
                        <c:ptCount val="1"/>
                        <c:pt idx="0">
                          <c:v>16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13-7FE5-4C73-ABE2-98CACB49874A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AA13CA11-1FFD-4755-878D-D7F7C5C0ABD2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7FE5-4C73-ABE2-98CACB49874A}"/>
                </c:ext>
              </c:extLst>
            </c:dLbl>
            <c:dLbl>
              <c:idx val="21"/>
              <c:tx>
                <c:strRef>
                  <c:f>Daten!$A$20</c:f>
                  <c:strCache>
                    <c:ptCount val="1"/>
                    <c:pt idx="0">
                      <c:v>18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{4FE7FF90-4957-4033-A762-FDB40B23E201}</c15:txfldGUID>
                      <c15:f>Daten!$A$20</c15:f>
                      <c15:dlblFieldTableCache>
                        <c:ptCount val="1"/>
                        <c:pt idx="0">
                          <c:v>18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15-7FE5-4C73-ABE2-98CACB49874A}"/>
                </c:ext>
              </c:extLst>
            </c:dLbl>
            <c:dLbl>
              <c:idx val="22"/>
              <c:tx>
                <c:strRef>
                  <c:f>Daten!$A$21</c:f>
                  <c:strCache>
                    <c:ptCount val="1"/>
                    <c:pt idx="0">
                      <c:v>19</c:v>
                    </c:pt>
                  </c:strCache>
                </c:strRef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{6C9CF2E4-DD16-4CDE-9D6B-1A015361642A}</c15:txfldGUID>
                      <c15:f>Daten!$A$21</c15:f>
                      <c15:dlblFieldTableCache>
                        <c:ptCount val="1"/>
                        <c:pt idx="0">
                          <c:v>19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16-7FE5-4C73-ABE2-98CACB49874A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8A83A259-28F3-47E4-9EAD-4D7428C256B7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7FE5-4C73-ABE2-98CACB49874A}"/>
                </c:ext>
              </c:extLst>
            </c:dLbl>
            <c:dLbl>
              <c:idx val="24"/>
              <c:tx>
                <c:strRef>
                  <c:f>Daten!$A$22</c:f>
                  <c:strCache>
                    <c:ptCount val="1"/>
                    <c:pt idx="0">
                      <c:v>20</c:v>
                    </c:pt>
                  </c:strCache>
                </c:strRef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{564630DD-BB47-4E8F-BF7E-94C763FF6FB9}</c15:txfldGUID>
                      <c15:f>Daten!$A$22</c15:f>
                      <c15:dlblFieldTableCache>
                        <c:ptCount val="1"/>
                        <c:pt idx="0">
                          <c:v>20</c:v>
                        </c:pt>
                      </c15:dlblFieldTableCache>
                    </c15:dlblFTEntry>
                  </c15:dlblFieldTable>
                  <c15:showDataLabelsRange val="1"/>
                </c:ext>
                <c:ext xmlns:c16="http://schemas.microsoft.com/office/drawing/2014/chart" uri="{C3380CC4-5D6E-409C-BE32-E72D297353CC}">
                  <c16:uniqueId val="{00000018-7FE5-4C73-ABE2-98CACB49874A}"/>
                </c:ext>
              </c:extLst>
            </c:dLbl>
            <c:dLbl>
              <c:idx val="26"/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9-7FE5-4C73-ABE2-98CACB49874A}"/>
                </c:ext>
              </c:extLst>
            </c:dLbl>
            <c:dLbl>
              <c:idx val="28"/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A-7FE5-4C73-ABE2-98CACB49874A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689405EB-6F23-4E99-B66A-4FE19CA9A9ED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7FE5-4C73-ABE2-98CACB49874A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C53ED16A-C4DA-46B6-B149-C91031245F66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7FE5-4C73-ABE2-98CACB49874A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82250561-694A-4708-B188-72866E28E992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7FE5-4C73-ABE2-98CACB49874A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B9EEC9FA-08EB-404E-A3EF-07A0D3D026C0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7FE5-4C73-ABE2-98CACB49874A}"/>
                </c:ext>
              </c:extLst>
            </c:dLbl>
            <c:spPr>
              <a:noFill/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endParaRPr lang="de-DE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Daten!$L$3:$L$27</c:f>
              <c:numCache>
                <c:formatCode>0</c:formatCode>
                <c:ptCount val="25"/>
                <c:pt idx="0">
                  <c:v>104.77767540983608</c:v>
                </c:pt>
                <c:pt idx="1">
                  <c:v>66.063000000000002</c:v>
                </c:pt>
                <c:pt idx="2">
                  <c:v>106.30351600000002</c:v>
                </c:pt>
                <c:pt idx="3">
                  <c:v>149.42025000000001</c:v>
                </c:pt>
                <c:pt idx="4">
                  <c:v>137.57285714285717</c:v>
                </c:pt>
                <c:pt idx="5">
                  <c:v>88.72664473684209</c:v>
                </c:pt>
                <c:pt idx="6">
                  <c:v>119.34</c:v>
                </c:pt>
                <c:pt idx="7">
                  <c:v>77.683782857142845</c:v>
                </c:pt>
                <c:pt idx="8">
                  <c:v>64.482593599999987</c:v>
                </c:pt>
                <c:pt idx="9">
                  <c:v>93.041978879310363</c:v>
                </c:pt>
                <c:pt idx="10">
                  <c:v>76.268123875000015</c:v>
                </c:pt>
                <c:pt idx="11">
                  <c:v>76.500387096774176</c:v>
                </c:pt>
                <c:pt idx="12">
                  <c:v>68.884399999999999</c:v>
                </c:pt>
                <c:pt idx="13">
                  <c:v>68.18807692307692</c:v>
                </c:pt>
                <c:pt idx="14">
                  <c:v>81.089579999999998</c:v>
                </c:pt>
                <c:pt idx="15">
                  <c:v>75.177363333333332</c:v>
                </c:pt>
                <c:pt idx="16">
                  <c:v>54.873491735537193</c:v>
                </c:pt>
                <c:pt idx="17">
                  <c:v>79.524339041095871</c:v>
                </c:pt>
                <c:pt idx="18">
                  <c:v>59.590384615384615</c:v>
                </c:pt>
                <c:pt idx="19">
                  <c:v>57.101316666666676</c:v>
                </c:pt>
                <c:pt idx="20">
                  <c:v>53.403287671232874</c:v>
                </c:pt>
                <c:pt idx="21">
                  <c:v>65.359999999999985</c:v>
                </c:pt>
                <c:pt idx="22">
                  <c:v>66.825000000000017</c:v>
                </c:pt>
                <c:pt idx="23">
                  <c:v>46.003384615384604</c:v>
                </c:pt>
                <c:pt idx="24">
                  <c:v>79.012623529411769</c:v>
                </c:pt>
              </c:numCache>
            </c:numRef>
          </c:xVal>
          <c:yVal>
            <c:numRef>
              <c:f>Daten!$D$3:$D$27</c:f>
              <c:numCache>
                <c:formatCode>0.00</c:formatCode>
                <c:ptCount val="25"/>
                <c:pt idx="0">
                  <c:v>5.9</c:v>
                </c:pt>
                <c:pt idx="1">
                  <c:v>5.73</c:v>
                </c:pt>
                <c:pt idx="2">
                  <c:v>5.72</c:v>
                </c:pt>
                <c:pt idx="3">
                  <c:v>5.58</c:v>
                </c:pt>
                <c:pt idx="4">
                  <c:v>5.52</c:v>
                </c:pt>
                <c:pt idx="5">
                  <c:v>5.49</c:v>
                </c:pt>
                <c:pt idx="6">
                  <c:v>5.45</c:v>
                </c:pt>
                <c:pt idx="7">
                  <c:v>5.43</c:v>
                </c:pt>
                <c:pt idx="8">
                  <c:v>5.375</c:v>
                </c:pt>
                <c:pt idx="9">
                  <c:v>5.35</c:v>
                </c:pt>
                <c:pt idx="10">
                  <c:v>5.16</c:v>
                </c:pt>
                <c:pt idx="11">
                  <c:v>5.0999999999999996</c:v>
                </c:pt>
                <c:pt idx="12">
                  <c:v>5.0999999999999996</c:v>
                </c:pt>
                <c:pt idx="13">
                  <c:v>4.9550000000000001</c:v>
                </c:pt>
                <c:pt idx="14">
                  <c:v>4.95</c:v>
                </c:pt>
                <c:pt idx="15">
                  <c:v>4.95</c:v>
                </c:pt>
                <c:pt idx="16">
                  <c:v>4.9249999999999998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4.8499999999999996</c:v>
                </c:pt>
                <c:pt idx="21">
                  <c:v>4.7300000000000004</c:v>
                </c:pt>
                <c:pt idx="22">
                  <c:v>4.6749999999999998</c:v>
                </c:pt>
                <c:pt idx="23">
                  <c:v>4.55</c:v>
                </c:pt>
                <c:pt idx="24">
                  <c:v>4.5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Daten!$A$3:$A$27</c15:f>
                <c15:dlblRangeCache>
                  <c:ptCount val="25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7FE5-4C73-ABE2-98CACB4987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7701055"/>
        <c:axId val="1737705375"/>
      </c:scatterChart>
      <c:valAx>
        <c:axId val="1737701055"/>
        <c:scaling>
          <c:orientation val="minMax"/>
          <c:max val="150"/>
          <c:min val="4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Volumen</a:t>
                </a:r>
                <a:r>
                  <a:rPr lang="de-DE" baseline="0"/>
                  <a:t> Außeneinheit in dm³/kW (bezogen auf P</a:t>
                </a:r>
                <a:r>
                  <a:rPr lang="de-DE" baseline="-25000"/>
                  <a:t>rated,h.35</a:t>
                </a:r>
                <a:r>
                  <a:rPr lang="de-DE" baseline="0"/>
                  <a:t>)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5375"/>
        <c:crosses val="autoZero"/>
        <c:crossBetween val="midCat"/>
        <c:majorUnit val="25"/>
        <c:minorUnit val="5"/>
      </c:valAx>
      <c:valAx>
        <c:axId val="1737705375"/>
        <c:scaling>
          <c:orientation val="minMax"/>
          <c:max val="5.9"/>
          <c:min val="3.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SCOP</a:t>
                </a:r>
                <a:r>
                  <a:rPr lang="de-DE" baseline="-25000"/>
                  <a:t>35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.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1055"/>
        <c:crosses val="autoZero"/>
        <c:crossBetween val="midCat"/>
        <c:majorUnit val="0.2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Daten!$J$1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34BAFFE-813A-423D-BD40-0166A0B1A711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2B50-4FBA-A18F-C72E0AD4485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EB588E9-D835-42D8-8A1D-9319CAB9D175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B50-4FBA-A18F-C72E0AD4485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02517B9-62AD-448B-A594-15FC667BAB03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B50-4FBA-A18F-C72E0AD4485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593DF85-FBCD-42F2-88DA-EFF70255897A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B50-4FBA-A18F-C72E0AD4485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1AF6CC2-1520-428E-A0AA-9628C53204DD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B50-4FBA-A18F-C72E0AD4485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DDD1960-5D54-4296-8FBF-DE4AAA9CE3B0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B50-4FBA-A18F-C72E0AD4485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02387DE-BCD3-49B7-B0A0-AC19E52A8E3B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2B50-4FBA-A18F-C72E0AD4485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1051433-1035-4891-AA05-3681AEB86B45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B50-4FBA-A18F-C72E0AD4485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155F2E5-2B47-4102-BA6C-E7340DD7AC51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2B50-4FBA-A18F-C72E0AD4485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24871AC-4F73-457C-B127-B5F79CD013D1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B50-4FBA-A18F-C72E0AD4485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D65B1DF-5AFA-473D-A1E4-548B11181D1A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B50-4FBA-A18F-C72E0AD4485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3C7464DD-3C2C-4396-AF99-1C0E0B5558E9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B50-4FBA-A18F-C72E0AD4485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36A1516-9A90-4E1F-B9B8-12BEA4013EC2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B50-4FBA-A18F-C72E0AD4485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9A44BE38-B6E9-4EBD-8A89-8D54E6AF8BA2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B50-4FBA-A18F-C72E0AD4485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FCC63E65-7A29-4C03-92BB-11B7B4C2BE75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B50-4FBA-A18F-C72E0AD4485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7BF3B453-0790-4137-8D5D-D85B0D26A943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B50-4FBA-A18F-C72E0AD4485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6AAE7D40-10CD-4C82-9E67-C69021B536BB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B50-4FBA-A18F-C72E0AD4485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6D5E3AC9-A823-4EBF-9C0E-BC81202B0854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2B50-4FBA-A18F-C72E0AD4485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70889473-ACA2-4C01-8337-41F4C2AA9748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2B50-4FBA-A18F-C72E0AD4485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B94F1301-3EE1-4D96-A198-4988B81558E1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B50-4FBA-A18F-C72E0AD4485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C2275BB3-0809-4EAD-A03F-EAD3B9A17827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B50-4FBA-A18F-C72E0AD4485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21E8C1B8-7C89-4EA7-B3E0-4F696F50B880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2B50-4FBA-A18F-C72E0AD4485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58376404-5E96-4F64-8FAD-E15DB7370BFD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2B50-4FBA-A18F-C72E0AD4485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903A5B0A-E3D8-44F4-831F-384FECBB7DEC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2B50-4FBA-A18F-C72E0AD4485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464BBAF1-59E2-4B25-920B-5508EDD41BA6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2B50-4FBA-A18F-C72E0AD4485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BC6CC52A-7511-4A3D-932A-A06D33FA5C72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2B50-4FBA-A18F-C72E0AD4485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C4E2D723-17D3-4253-B022-AF6DCF6F75AE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2B50-4FBA-A18F-C72E0AD4485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AB115CF2-5C97-463E-83EB-760D6A9A51D6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2B50-4FBA-A18F-C72E0AD4485C}"/>
                </c:ext>
              </c:extLst>
            </c:dLbl>
            <c:spPr>
              <a:noFill/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Daten!$J$3:$J$27</c:f>
              <c:numCache>
                <c:formatCode>General</c:formatCode>
                <c:ptCount val="25"/>
                <c:pt idx="0">
                  <c:v>41</c:v>
                </c:pt>
                <c:pt idx="1">
                  <c:v>46</c:v>
                </c:pt>
                <c:pt idx="2">
                  <c:v>46</c:v>
                </c:pt>
                <c:pt idx="3">
                  <c:v>50</c:v>
                </c:pt>
                <c:pt idx="4">
                  <c:v>45</c:v>
                </c:pt>
                <c:pt idx="5">
                  <c:v>52</c:v>
                </c:pt>
                <c:pt idx="6">
                  <c:v>52</c:v>
                </c:pt>
                <c:pt idx="7">
                  <c:v>58</c:v>
                </c:pt>
                <c:pt idx="8">
                  <c:v>51</c:v>
                </c:pt>
                <c:pt idx="9">
                  <c:v>54</c:v>
                </c:pt>
                <c:pt idx="10">
                  <c:v>53</c:v>
                </c:pt>
                <c:pt idx="11">
                  <c:v>54</c:v>
                </c:pt>
                <c:pt idx="12">
                  <c:v>52</c:v>
                </c:pt>
                <c:pt idx="13">
                  <c:v>46</c:v>
                </c:pt>
                <c:pt idx="14">
                  <c:v>46</c:v>
                </c:pt>
                <c:pt idx="15">
                  <c:v>52</c:v>
                </c:pt>
                <c:pt idx="16">
                  <c:v>55</c:v>
                </c:pt>
                <c:pt idx="17">
                  <c:v>45</c:v>
                </c:pt>
                <c:pt idx="18">
                  <c:v>59</c:v>
                </c:pt>
                <c:pt idx="19">
                  <c:v>60</c:v>
                </c:pt>
                <c:pt idx="20">
                  <c:v>62</c:v>
                </c:pt>
                <c:pt idx="21">
                  <c:v>53</c:v>
                </c:pt>
                <c:pt idx="22">
                  <c:v>45</c:v>
                </c:pt>
                <c:pt idx="23">
                  <c:v>54</c:v>
                </c:pt>
                <c:pt idx="24">
                  <c:v>53</c:v>
                </c:pt>
              </c:numCache>
            </c:numRef>
          </c:xVal>
          <c:yVal>
            <c:numRef>
              <c:f>Daten!$D$3:$D$27</c:f>
              <c:numCache>
                <c:formatCode>0.00</c:formatCode>
                <c:ptCount val="25"/>
                <c:pt idx="0">
                  <c:v>5.9</c:v>
                </c:pt>
                <c:pt idx="1">
                  <c:v>5.73</c:v>
                </c:pt>
                <c:pt idx="2">
                  <c:v>5.72</c:v>
                </c:pt>
                <c:pt idx="3">
                  <c:v>5.58</c:v>
                </c:pt>
                <c:pt idx="4">
                  <c:v>5.52</c:v>
                </c:pt>
                <c:pt idx="5">
                  <c:v>5.49</c:v>
                </c:pt>
                <c:pt idx="6">
                  <c:v>5.45</c:v>
                </c:pt>
                <c:pt idx="7">
                  <c:v>5.43</c:v>
                </c:pt>
                <c:pt idx="8">
                  <c:v>5.375</c:v>
                </c:pt>
                <c:pt idx="9">
                  <c:v>5.35</c:v>
                </c:pt>
                <c:pt idx="10">
                  <c:v>5.16</c:v>
                </c:pt>
                <c:pt idx="11">
                  <c:v>5.0999999999999996</c:v>
                </c:pt>
                <c:pt idx="12">
                  <c:v>5.0999999999999996</c:v>
                </c:pt>
                <c:pt idx="13">
                  <c:v>4.9550000000000001</c:v>
                </c:pt>
                <c:pt idx="14">
                  <c:v>4.95</c:v>
                </c:pt>
                <c:pt idx="15">
                  <c:v>4.95</c:v>
                </c:pt>
                <c:pt idx="16">
                  <c:v>4.9249999999999998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4.8499999999999996</c:v>
                </c:pt>
                <c:pt idx="21">
                  <c:v>4.7300000000000004</c:v>
                </c:pt>
                <c:pt idx="22">
                  <c:v>4.6749999999999998</c:v>
                </c:pt>
                <c:pt idx="23">
                  <c:v>4.55</c:v>
                </c:pt>
                <c:pt idx="24">
                  <c:v>4.5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Daten!$A$3:$A$27</c15:f>
                <c15:dlblRangeCache>
                  <c:ptCount val="25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C-2B50-4FBA-A18F-C72E0AD44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7701055"/>
        <c:axId val="1737705375"/>
      </c:scatterChart>
      <c:valAx>
        <c:axId val="1737701055"/>
        <c:scaling>
          <c:orientation val="minMax"/>
          <c:max val="65"/>
          <c:min val="4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 baseline="0"/>
                  <a:t>Schallleistung (ErP) in dB(A)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5375"/>
        <c:crosses val="autoZero"/>
        <c:crossBetween val="midCat"/>
        <c:majorUnit val="5"/>
      </c:valAx>
      <c:valAx>
        <c:axId val="1737705375"/>
        <c:scaling>
          <c:orientation val="minMax"/>
          <c:max val="5.9"/>
          <c:min val="3.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SCOP</a:t>
                </a:r>
                <a:r>
                  <a:rPr lang="de-DE" baseline="-25000"/>
                  <a:t>35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.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1055"/>
        <c:crosses val="autoZero"/>
        <c:crossBetween val="midCat"/>
        <c:majorUnit val="0.2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Daten!$AA$1</c:f>
              <c:strCache>
                <c:ptCount val="1"/>
                <c:pt idx="0">
                  <c:v>R290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solidFill>
                <a:srgbClr val="00B050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E414232-ACFB-4262-B733-F81B02C8183E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7CE1-4F5D-BF25-AC5963EC4D5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4EA81AF-2FF6-4928-B656-3EEB38C60D2F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CE1-4F5D-BF25-AC5963EC4D5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5261030-4D7A-4010-A030-7EE77C41CE8A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CE1-4F5D-BF25-AC5963EC4D5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22D664D-4379-45D2-8B90-04FF7577223D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CE1-4F5D-BF25-AC5963EC4D5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15AFA4D-1C8B-46EE-9D00-839C92D90793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CE1-4F5D-BF25-AC5963EC4D5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7352A4E-A5B1-4721-AFF9-939A38DB59CE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7CE1-4F5D-BF25-AC5963EC4D5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055EF43-DCD5-45B1-A804-8FDDD4976814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CE1-4F5D-BF25-AC5963EC4D5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AD6A4DF-1F92-400F-9DF3-9E06FD838927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CE1-4F5D-BF25-AC5963EC4D5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85D7128-E6CB-4D7D-A15B-17CAE5C113E7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CE1-4F5D-BF25-AC5963EC4D5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9C16366-B494-49C0-A2CA-3AE9388B6AD1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CE1-4F5D-BF25-AC5963EC4D54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A8EA77C9-9BC3-40A3-A470-5A50B8EF8149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7CE1-4F5D-BF25-AC5963EC4D5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C959906-B26D-48D3-BD1D-1B131B70DDC7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7CE1-4F5D-BF25-AC5963EC4D54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E06D529E-9221-4C46-9938-DF22B2BB5595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7CE1-4F5D-BF25-AC5963EC4D54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4E112E2A-1E04-4128-B335-0E1F69B13EAD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7CE1-4F5D-BF25-AC5963EC4D54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B54EE52-8C3E-4E4A-9315-0C46F6AC0B8B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7CE1-4F5D-BF25-AC5963EC4D54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F18DD41A-5AB3-4094-95EB-A16757D1D3AA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7CE1-4F5D-BF25-AC5963EC4D5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E0C843AC-D402-48FB-90C0-392CC7EE727F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7CE1-4F5D-BF25-AC5963EC4D54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F9E18566-230B-4C71-9F88-40AF53232BD6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7CE1-4F5D-BF25-AC5963EC4D54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4F3B3DAA-998D-4464-8F11-6808ED4079CB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CE1-4F5D-BF25-AC5963EC4D54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730B3326-9EA3-4FC8-A217-7DBC398AF54E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7CE1-4F5D-BF25-AC5963EC4D54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A7167607-3275-4403-B47F-644BEC0C2E13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7CE1-4F5D-BF25-AC5963EC4D54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6C6E216D-9718-4591-B2AD-44CB59A97E0E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7CE1-4F5D-BF25-AC5963EC4D54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33448580-A8BB-4324-9E07-9F720413F89F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7CE1-4F5D-BF25-AC5963EC4D54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6BC812F4-A801-4323-B31F-496C65962F90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7CE1-4F5D-BF25-AC5963EC4D54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9E27D484-45DC-4852-A3D4-6CA0DAD98ED0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7CE1-4F5D-BF25-AC5963EC4D54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CFCC3181-93F3-4C71-8BA5-63380CFD5FDE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7CE1-4F5D-BF25-AC5963EC4D54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F6BE47B5-5078-4574-8179-0692AC5367FA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7CE1-4F5D-BF25-AC5963EC4D54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B9B34E15-8611-49F2-8E7E-261B453811A9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7CE1-4F5D-BF25-AC5963EC4D54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FBCC45DB-CF29-46A5-B3AE-9CA76261C8CA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7CE1-4F5D-BF25-AC5963EC4D54}"/>
                </c:ext>
              </c:extLst>
            </c:dLbl>
            <c:spPr>
              <a:noFill/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DataLabelsRange val="1"/>
                <c15:showLeaderLines val="0"/>
              </c:ext>
            </c:extLst>
          </c:dLbls>
          <c:xVal>
            <c:numRef>
              <c:f>Daten!$AB$3:$AB$27</c:f>
              <c:numCache>
                <c:formatCode>0</c:formatCode>
                <c:ptCount val="25"/>
                <c:pt idx="0">
                  <c:v>122.95081967213116</c:v>
                </c:pt>
                <c:pt idx="1">
                  <c:v>100</c:v>
                </c:pt>
                <c:pt idx="2">
                  <c:v>266.66666666666669</c:v>
                </c:pt>
                <c:pt idx="3">
                  <c:v>233.33333333333334</c:v>
                </c:pt>
                <c:pt idx="4">
                  <c:v>200</c:v>
                </c:pt>
                <c:pt idx="5">
                  <c:v>197.36842105263159</c:v>
                </c:pt>
                <c:pt idx="6">
                  <c:v>271.42857142857144</c:v>
                </c:pt>
                <c:pt idx="7">
                  <c:v>131.57894736842104</c:v>
                </c:pt>
                <c:pt idx="8">
                  <c:v>120</c:v>
                </c:pt>
                <c:pt idx="9">
                  <c:v>103.44827586206897</c:v>
                </c:pt>
                <c:pt idx="10">
                  <c:v>193.75</c:v>
                </c:pt>
                <c:pt idx="11">
                  <c:v>161.29032258064515</c:v>
                </c:pt>
                <c:pt idx="12">
                  <c:v>100</c:v>
                </c:pt>
                <c:pt idx="13">
                  <c:v>121.7948717948718</c:v>
                </c:pt>
                <c:pt idx="14">
                  <c:v>133.33333333333334</c:v>
                </c:pt>
                <c:pt idx="15">
                  <c:v>104.16666666666667</c:v>
                </c:pt>
                <c:pt idx="16">
                  <c:v>123.96694214876034</c:v>
                </c:pt>
                <c:pt idx="17">
                  <c:v>147.26027397260273</c:v>
                </c:pt>
                <c:pt idx="18">
                  <c:v>100</c:v>
                </c:pt>
                <c:pt idx="19">
                  <c:v>104.16666666666667</c:v>
                </c:pt>
                <c:pt idx="20">
                  <c:v>86.986301369863014</c:v>
                </c:pt>
                <c:pt idx="21">
                  <c:v>148.33333333333334</c:v>
                </c:pt>
                <c:pt idx="22">
                  <c:v>133.33333333333334</c:v>
                </c:pt>
                <c:pt idx="23">
                  <c:v>92.307692307692307</c:v>
                </c:pt>
                <c:pt idx="24">
                  <c:v>72.268907563025209</c:v>
                </c:pt>
              </c:numCache>
            </c:numRef>
          </c:xVal>
          <c:yVal>
            <c:numRef>
              <c:f>Daten!$D$3:$D$27</c:f>
              <c:numCache>
                <c:formatCode>0.00</c:formatCode>
                <c:ptCount val="25"/>
                <c:pt idx="0">
                  <c:v>5.9</c:v>
                </c:pt>
                <c:pt idx="1">
                  <c:v>5.73</c:v>
                </c:pt>
                <c:pt idx="2">
                  <c:v>5.72</c:v>
                </c:pt>
                <c:pt idx="3">
                  <c:v>5.58</c:v>
                </c:pt>
                <c:pt idx="4">
                  <c:v>5.52</c:v>
                </c:pt>
                <c:pt idx="5">
                  <c:v>5.49</c:v>
                </c:pt>
                <c:pt idx="6">
                  <c:v>5.45</c:v>
                </c:pt>
                <c:pt idx="7">
                  <c:v>5.43</c:v>
                </c:pt>
                <c:pt idx="8">
                  <c:v>5.375</c:v>
                </c:pt>
                <c:pt idx="9">
                  <c:v>5.35</c:v>
                </c:pt>
                <c:pt idx="10">
                  <c:v>5.16</c:v>
                </c:pt>
                <c:pt idx="11">
                  <c:v>5.0999999999999996</c:v>
                </c:pt>
                <c:pt idx="12">
                  <c:v>5.0999999999999996</c:v>
                </c:pt>
                <c:pt idx="13">
                  <c:v>4.9550000000000001</c:v>
                </c:pt>
                <c:pt idx="14">
                  <c:v>4.95</c:v>
                </c:pt>
                <c:pt idx="15">
                  <c:v>4.95</c:v>
                </c:pt>
                <c:pt idx="16">
                  <c:v>4.9249999999999998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4.8499999999999996</c:v>
                </c:pt>
                <c:pt idx="21">
                  <c:v>4.7300000000000004</c:v>
                </c:pt>
                <c:pt idx="22">
                  <c:v>4.6749999999999998</c:v>
                </c:pt>
                <c:pt idx="23">
                  <c:v>4.55</c:v>
                </c:pt>
                <c:pt idx="24">
                  <c:v>4.5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Daten!$A$3:$A$27</c15:f>
                <c15:dlblRangeCache>
                  <c:ptCount val="25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7CE1-4F5D-BF25-AC5963EC4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7701055"/>
        <c:axId val="1737705375"/>
      </c:scatterChart>
      <c:valAx>
        <c:axId val="1737701055"/>
        <c:scaling>
          <c:orientation val="minMax"/>
          <c:max val="275"/>
          <c:min val="7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Füllmenge R290</a:t>
                </a:r>
                <a:r>
                  <a:rPr lang="de-DE" baseline="0"/>
                  <a:t> in g/kW (bezogen auf P</a:t>
                </a:r>
                <a:r>
                  <a:rPr lang="de-DE" baseline="-25000"/>
                  <a:t>rated,h,35</a:t>
                </a:r>
                <a:r>
                  <a:rPr lang="de-DE" baseline="0"/>
                  <a:t>)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5375"/>
        <c:crosses val="autoZero"/>
        <c:crossBetween val="midCat"/>
        <c:majorUnit val="25"/>
        <c:minorUnit val="5"/>
      </c:valAx>
      <c:valAx>
        <c:axId val="1737705375"/>
        <c:scaling>
          <c:orientation val="minMax"/>
          <c:max val="5.9"/>
          <c:min val="3.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SCOP</a:t>
                </a:r>
                <a:r>
                  <a:rPr lang="de-DE" baseline="-25000"/>
                  <a:t>35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.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1055"/>
        <c:crosses val="autoZero"/>
        <c:crossBetween val="midCat"/>
        <c:majorUnit val="0.2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Daten!$J$1</c:f>
              <c:strCache>
                <c:ptCount val="1"/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xVal>
            <c:numRef>
              <c:f>Daten!$J$3:$J$27</c:f>
              <c:numCache>
                <c:formatCode>General</c:formatCode>
                <c:ptCount val="25"/>
                <c:pt idx="0">
                  <c:v>41</c:v>
                </c:pt>
                <c:pt idx="1">
                  <c:v>46</c:v>
                </c:pt>
                <c:pt idx="2">
                  <c:v>46</c:v>
                </c:pt>
                <c:pt idx="3">
                  <c:v>50</c:v>
                </c:pt>
                <c:pt idx="4">
                  <c:v>45</c:v>
                </c:pt>
                <c:pt idx="5">
                  <c:v>52</c:v>
                </c:pt>
                <c:pt idx="6">
                  <c:v>52</c:v>
                </c:pt>
                <c:pt idx="7">
                  <c:v>58</c:v>
                </c:pt>
                <c:pt idx="8">
                  <c:v>51</c:v>
                </c:pt>
                <c:pt idx="9">
                  <c:v>54</c:v>
                </c:pt>
                <c:pt idx="10">
                  <c:v>53</c:v>
                </c:pt>
                <c:pt idx="11">
                  <c:v>54</c:v>
                </c:pt>
                <c:pt idx="12">
                  <c:v>52</c:v>
                </c:pt>
                <c:pt idx="13">
                  <c:v>46</c:v>
                </c:pt>
                <c:pt idx="14">
                  <c:v>46</c:v>
                </c:pt>
                <c:pt idx="15">
                  <c:v>52</c:v>
                </c:pt>
                <c:pt idx="16">
                  <c:v>55</c:v>
                </c:pt>
                <c:pt idx="17">
                  <c:v>45</c:v>
                </c:pt>
                <c:pt idx="18">
                  <c:v>59</c:v>
                </c:pt>
                <c:pt idx="19">
                  <c:v>60</c:v>
                </c:pt>
                <c:pt idx="20">
                  <c:v>62</c:v>
                </c:pt>
                <c:pt idx="21">
                  <c:v>53</c:v>
                </c:pt>
                <c:pt idx="22">
                  <c:v>45</c:v>
                </c:pt>
                <c:pt idx="23">
                  <c:v>54</c:v>
                </c:pt>
                <c:pt idx="24">
                  <c:v>53</c:v>
                </c:pt>
              </c:numCache>
            </c:numRef>
          </c:xVal>
          <c:yVal>
            <c:numRef>
              <c:f>Daten!$D$3:$D$27</c:f>
              <c:numCache>
                <c:formatCode>0.00</c:formatCode>
                <c:ptCount val="25"/>
                <c:pt idx="0">
                  <c:v>5.9</c:v>
                </c:pt>
                <c:pt idx="1">
                  <c:v>5.73</c:v>
                </c:pt>
                <c:pt idx="2">
                  <c:v>5.72</c:v>
                </c:pt>
                <c:pt idx="3">
                  <c:v>5.58</c:v>
                </c:pt>
                <c:pt idx="4">
                  <c:v>5.52</c:v>
                </c:pt>
                <c:pt idx="5">
                  <c:v>5.49</c:v>
                </c:pt>
                <c:pt idx="6">
                  <c:v>5.45</c:v>
                </c:pt>
                <c:pt idx="7">
                  <c:v>5.43</c:v>
                </c:pt>
                <c:pt idx="8">
                  <c:v>5.375</c:v>
                </c:pt>
                <c:pt idx="9">
                  <c:v>5.35</c:v>
                </c:pt>
                <c:pt idx="10">
                  <c:v>5.16</c:v>
                </c:pt>
                <c:pt idx="11">
                  <c:v>5.0999999999999996</c:v>
                </c:pt>
                <c:pt idx="12">
                  <c:v>5.0999999999999996</c:v>
                </c:pt>
                <c:pt idx="13">
                  <c:v>4.9550000000000001</c:v>
                </c:pt>
                <c:pt idx="14">
                  <c:v>4.95</c:v>
                </c:pt>
                <c:pt idx="15">
                  <c:v>4.95</c:v>
                </c:pt>
                <c:pt idx="16">
                  <c:v>4.9249999999999998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4.8499999999999996</c:v>
                </c:pt>
                <c:pt idx="21">
                  <c:v>4.7300000000000004</c:v>
                </c:pt>
                <c:pt idx="22">
                  <c:v>4.6749999999999998</c:v>
                </c:pt>
                <c:pt idx="23">
                  <c:v>4.55</c:v>
                </c:pt>
                <c:pt idx="24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8C-4B4C-A38E-6BDFA0852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7701055"/>
        <c:axId val="1737705375"/>
      </c:scatterChart>
      <c:valAx>
        <c:axId val="1737701055"/>
        <c:scaling>
          <c:orientation val="minMax"/>
          <c:max val="65"/>
          <c:min val="4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 baseline="0"/>
                  <a:t>Schallleistung (ErP) in dB(A)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5375"/>
        <c:crosses val="autoZero"/>
        <c:crossBetween val="midCat"/>
        <c:majorUnit val="5"/>
      </c:valAx>
      <c:valAx>
        <c:axId val="1737705375"/>
        <c:scaling>
          <c:orientation val="minMax"/>
          <c:max val="5.9"/>
          <c:min val="3.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SCOP</a:t>
                </a:r>
                <a:r>
                  <a:rPr lang="de-DE" baseline="-25000"/>
                  <a:t>35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.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1055"/>
        <c:crosses val="autoZero"/>
        <c:crossBetween val="midCat"/>
        <c:majorUnit val="0.2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Daten!$AA$1</c:f>
              <c:strCache>
                <c:ptCount val="1"/>
                <c:pt idx="0">
                  <c:v>R290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6"/>
            <c:spPr>
              <a:solidFill>
                <a:srgbClr val="00B050"/>
              </a:solidFill>
              <a:ln w="9525">
                <a:noFill/>
              </a:ln>
              <a:effectLst/>
            </c:spPr>
          </c:marker>
          <c:xVal>
            <c:numRef>
              <c:f>Daten!$AB$3:$AB$27</c:f>
              <c:numCache>
                <c:formatCode>0</c:formatCode>
                <c:ptCount val="25"/>
                <c:pt idx="0">
                  <c:v>122.95081967213116</c:v>
                </c:pt>
                <c:pt idx="1">
                  <c:v>100</c:v>
                </c:pt>
                <c:pt idx="2">
                  <c:v>266.66666666666669</c:v>
                </c:pt>
                <c:pt idx="3">
                  <c:v>233.33333333333334</c:v>
                </c:pt>
                <c:pt idx="4">
                  <c:v>200</c:v>
                </c:pt>
                <c:pt idx="5">
                  <c:v>197.36842105263159</c:v>
                </c:pt>
                <c:pt idx="6">
                  <c:v>271.42857142857144</c:v>
                </c:pt>
                <c:pt idx="7">
                  <c:v>131.57894736842104</c:v>
                </c:pt>
                <c:pt idx="8">
                  <c:v>120</c:v>
                </c:pt>
                <c:pt idx="9">
                  <c:v>103.44827586206897</c:v>
                </c:pt>
                <c:pt idx="10">
                  <c:v>193.75</c:v>
                </c:pt>
                <c:pt idx="11">
                  <c:v>161.29032258064515</c:v>
                </c:pt>
                <c:pt idx="12">
                  <c:v>100</c:v>
                </c:pt>
                <c:pt idx="13">
                  <c:v>121.7948717948718</c:v>
                </c:pt>
                <c:pt idx="14">
                  <c:v>133.33333333333334</c:v>
                </c:pt>
                <c:pt idx="15">
                  <c:v>104.16666666666667</c:v>
                </c:pt>
                <c:pt idx="16">
                  <c:v>123.96694214876034</c:v>
                </c:pt>
                <c:pt idx="17">
                  <c:v>147.26027397260273</c:v>
                </c:pt>
                <c:pt idx="18">
                  <c:v>100</c:v>
                </c:pt>
                <c:pt idx="19">
                  <c:v>104.16666666666667</c:v>
                </c:pt>
                <c:pt idx="20">
                  <c:v>86.986301369863014</c:v>
                </c:pt>
                <c:pt idx="21">
                  <c:v>148.33333333333334</c:v>
                </c:pt>
                <c:pt idx="22">
                  <c:v>133.33333333333334</c:v>
                </c:pt>
                <c:pt idx="23">
                  <c:v>92.307692307692307</c:v>
                </c:pt>
                <c:pt idx="24">
                  <c:v>72.268907563025209</c:v>
                </c:pt>
              </c:numCache>
            </c:numRef>
          </c:xVal>
          <c:yVal>
            <c:numRef>
              <c:f>Daten!$D$3:$D$27</c:f>
              <c:numCache>
                <c:formatCode>0.00</c:formatCode>
                <c:ptCount val="25"/>
                <c:pt idx="0">
                  <c:v>5.9</c:v>
                </c:pt>
                <c:pt idx="1">
                  <c:v>5.73</c:v>
                </c:pt>
                <c:pt idx="2">
                  <c:v>5.72</c:v>
                </c:pt>
                <c:pt idx="3">
                  <c:v>5.58</c:v>
                </c:pt>
                <c:pt idx="4">
                  <c:v>5.52</c:v>
                </c:pt>
                <c:pt idx="5">
                  <c:v>5.49</c:v>
                </c:pt>
                <c:pt idx="6">
                  <c:v>5.45</c:v>
                </c:pt>
                <c:pt idx="7">
                  <c:v>5.43</c:v>
                </c:pt>
                <c:pt idx="8">
                  <c:v>5.375</c:v>
                </c:pt>
                <c:pt idx="9">
                  <c:v>5.35</c:v>
                </c:pt>
                <c:pt idx="10">
                  <c:v>5.16</c:v>
                </c:pt>
                <c:pt idx="11">
                  <c:v>5.0999999999999996</c:v>
                </c:pt>
                <c:pt idx="12">
                  <c:v>5.0999999999999996</c:v>
                </c:pt>
                <c:pt idx="13">
                  <c:v>4.9550000000000001</c:v>
                </c:pt>
                <c:pt idx="14">
                  <c:v>4.95</c:v>
                </c:pt>
                <c:pt idx="15">
                  <c:v>4.95</c:v>
                </c:pt>
                <c:pt idx="16">
                  <c:v>4.9249999999999998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4.8499999999999996</c:v>
                </c:pt>
                <c:pt idx="21">
                  <c:v>4.7300000000000004</c:v>
                </c:pt>
                <c:pt idx="22">
                  <c:v>4.6749999999999998</c:v>
                </c:pt>
                <c:pt idx="23">
                  <c:v>4.55</c:v>
                </c:pt>
                <c:pt idx="24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AC-4DAE-93B4-78CCAE8A7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7701055"/>
        <c:axId val="1737705375"/>
      </c:scatterChart>
      <c:valAx>
        <c:axId val="1737701055"/>
        <c:scaling>
          <c:orientation val="minMax"/>
          <c:max val="275"/>
          <c:min val="7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Füllmenge R290</a:t>
                </a:r>
                <a:r>
                  <a:rPr lang="de-DE" baseline="0"/>
                  <a:t> in g/kW (bezogen auf P</a:t>
                </a:r>
                <a:r>
                  <a:rPr lang="de-DE" baseline="-25000"/>
                  <a:t>rated,h,35</a:t>
                </a:r>
                <a:r>
                  <a:rPr lang="de-DE" baseline="0"/>
                  <a:t>)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5375"/>
        <c:crosses val="autoZero"/>
        <c:crossBetween val="midCat"/>
        <c:majorUnit val="25"/>
        <c:minorUnit val="5"/>
      </c:valAx>
      <c:valAx>
        <c:axId val="1737705375"/>
        <c:scaling>
          <c:orientation val="minMax"/>
          <c:max val="5.9"/>
          <c:min val="3.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SCOP</a:t>
                </a:r>
                <a:r>
                  <a:rPr lang="de-DE" baseline="-25000"/>
                  <a:t>35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.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1055"/>
        <c:crosses val="autoZero"/>
        <c:crossBetween val="midCat"/>
        <c:majorUnit val="0.2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Daten!$M$1</c:f>
              <c:strCache>
                <c:ptCount val="1"/>
                <c:pt idx="0">
                  <c:v>Gewicht ODU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Daten!$N$3:$N$27</c:f>
              <c:numCache>
                <c:formatCode>#,#00</c:formatCode>
                <c:ptCount val="25"/>
                <c:pt idx="0">
                  <c:v>15</c:v>
                </c:pt>
                <c:pt idx="1">
                  <c:v>11</c:v>
                </c:pt>
                <c:pt idx="2">
                  <c:v>17.333333333333332</c:v>
                </c:pt>
                <c:pt idx="3">
                  <c:v>24.166666666666668</c:v>
                </c:pt>
                <c:pt idx="4">
                  <c:v>24.642857142857142</c:v>
                </c:pt>
                <c:pt idx="5">
                  <c:v>18.421052631578949</c:v>
                </c:pt>
                <c:pt idx="6">
                  <c:v>16.428571428571427</c:v>
                </c:pt>
                <c:pt idx="7">
                  <c:v>18.120300751879697</c:v>
                </c:pt>
                <c:pt idx="8">
                  <c:v>14.666666666666666</c:v>
                </c:pt>
                <c:pt idx="9">
                  <c:v>17.672413793103448</c:v>
                </c:pt>
                <c:pt idx="10">
                  <c:v>18.4375</c:v>
                </c:pt>
                <c:pt idx="11">
                  <c:v>17.822580645161288</c:v>
                </c:pt>
                <c:pt idx="12">
                  <c:v>15.083333333333334</c:v>
                </c:pt>
                <c:pt idx="13">
                  <c:v>12.115384615384615</c:v>
                </c:pt>
                <c:pt idx="14">
                  <c:v>13.833333333333334</c:v>
                </c:pt>
                <c:pt idx="15">
                  <c:v>15.916666666666666</c:v>
                </c:pt>
                <c:pt idx="16">
                  <c:v>13.966942148760332</c:v>
                </c:pt>
                <c:pt idx="17">
                  <c:v>14.04109589041096</c:v>
                </c:pt>
                <c:pt idx="18">
                  <c:v>16.76923076923077</c:v>
                </c:pt>
                <c:pt idx="19">
                  <c:v>11.666666666666666</c:v>
                </c:pt>
                <c:pt idx="20">
                  <c:v>12.123287671232877</c:v>
                </c:pt>
                <c:pt idx="21">
                  <c:v>13.583333333333334</c:v>
                </c:pt>
                <c:pt idx="22">
                  <c:v>17.666666666666668</c:v>
                </c:pt>
                <c:pt idx="23">
                  <c:v>10</c:v>
                </c:pt>
                <c:pt idx="24">
                  <c:v>14.453781512605042</c:v>
                </c:pt>
              </c:numCache>
            </c:numRef>
          </c:xVal>
          <c:yVal>
            <c:numRef>
              <c:f>Daten!$D$3:$D$27</c:f>
              <c:numCache>
                <c:formatCode>0.00</c:formatCode>
                <c:ptCount val="25"/>
                <c:pt idx="0">
                  <c:v>5.9</c:v>
                </c:pt>
                <c:pt idx="1">
                  <c:v>5.73</c:v>
                </c:pt>
                <c:pt idx="2">
                  <c:v>5.72</c:v>
                </c:pt>
                <c:pt idx="3">
                  <c:v>5.58</c:v>
                </c:pt>
                <c:pt idx="4">
                  <c:v>5.52</c:v>
                </c:pt>
                <c:pt idx="5">
                  <c:v>5.49</c:v>
                </c:pt>
                <c:pt idx="6">
                  <c:v>5.45</c:v>
                </c:pt>
                <c:pt idx="7">
                  <c:v>5.43</c:v>
                </c:pt>
                <c:pt idx="8">
                  <c:v>5.375</c:v>
                </c:pt>
                <c:pt idx="9">
                  <c:v>5.35</c:v>
                </c:pt>
                <c:pt idx="10">
                  <c:v>5.16</c:v>
                </c:pt>
                <c:pt idx="11">
                  <c:v>5.0999999999999996</c:v>
                </c:pt>
                <c:pt idx="12">
                  <c:v>5.0999999999999996</c:v>
                </c:pt>
                <c:pt idx="13">
                  <c:v>4.9550000000000001</c:v>
                </c:pt>
                <c:pt idx="14">
                  <c:v>4.95</c:v>
                </c:pt>
                <c:pt idx="15">
                  <c:v>4.95</c:v>
                </c:pt>
                <c:pt idx="16">
                  <c:v>4.9249999999999998</c:v>
                </c:pt>
                <c:pt idx="17">
                  <c:v>4.9000000000000004</c:v>
                </c:pt>
                <c:pt idx="18">
                  <c:v>4.9000000000000004</c:v>
                </c:pt>
                <c:pt idx="19">
                  <c:v>4.9000000000000004</c:v>
                </c:pt>
                <c:pt idx="20">
                  <c:v>4.8499999999999996</c:v>
                </c:pt>
                <c:pt idx="21">
                  <c:v>4.7300000000000004</c:v>
                </c:pt>
                <c:pt idx="22">
                  <c:v>4.6749999999999998</c:v>
                </c:pt>
                <c:pt idx="23">
                  <c:v>4.55</c:v>
                </c:pt>
                <c:pt idx="24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26D-4BF8-A6D7-5686449AC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7701055"/>
        <c:axId val="1737705375"/>
      </c:scatterChart>
      <c:valAx>
        <c:axId val="1737701055"/>
        <c:scaling>
          <c:orientation val="minMax"/>
          <c:max val="25"/>
          <c:min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 baseline="0"/>
                  <a:t>Gewicht Außeneinheit in kg/kW (bezogen auf P</a:t>
                </a:r>
                <a:r>
                  <a:rPr lang="de-DE" baseline="-25000"/>
                  <a:t>rated,h,35</a:t>
                </a:r>
                <a:r>
                  <a:rPr lang="de-DE" baseline="0"/>
                  <a:t>)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5375"/>
        <c:crosses val="autoZero"/>
        <c:crossBetween val="midCat"/>
        <c:majorUnit val="5"/>
      </c:valAx>
      <c:valAx>
        <c:axId val="1737705375"/>
        <c:scaling>
          <c:orientation val="minMax"/>
          <c:max val="5.9"/>
          <c:min val="3.9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Roboto Light" panose="02000000000000000000" pitchFamily="2" charset="0"/>
                    <a:ea typeface="Roboto Light" panose="02000000000000000000" pitchFamily="2" charset="0"/>
                    <a:cs typeface="+mn-cs"/>
                  </a:defRPr>
                </a:pPr>
                <a:r>
                  <a:rPr lang="de-DE"/>
                  <a:t>SCOP</a:t>
                </a:r>
                <a:r>
                  <a:rPr lang="de-DE" baseline="-25000"/>
                  <a:t>35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Roboto Light" panose="02000000000000000000" pitchFamily="2" charset="0"/>
                  <a:ea typeface="Roboto Light" panose="02000000000000000000" pitchFamily="2" charset="0"/>
                  <a:cs typeface="+mn-cs"/>
                </a:defRPr>
              </a:pPr>
              <a:endParaRPr lang="de-DE"/>
            </a:p>
          </c:txPr>
        </c:title>
        <c:numFmt formatCode="0.0" sourceLinked="0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Roboto Light" panose="02000000000000000000" pitchFamily="2" charset="0"/>
                <a:ea typeface="Roboto Light" panose="02000000000000000000" pitchFamily="2" charset="0"/>
                <a:cs typeface="+mn-cs"/>
              </a:defRPr>
            </a:pPr>
            <a:endParaRPr lang="de-DE"/>
          </a:p>
        </c:txPr>
        <c:crossAx val="1737701055"/>
        <c:crosses val="autoZero"/>
        <c:crossBetween val="midCat"/>
        <c:majorUnit val="0.2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Roboto Light" panose="02000000000000000000" pitchFamily="2" charset="0"/>
          <a:ea typeface="Roboto Light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0</xdr:colOff>
      <xdr:row>50</xdr:row>
      <xdr:rowOff>0</xdr:rowOff>
    </xdr:from>
    <xdr:to>
      <xdr:col>41</xdr:col>
      <xdr:colOff>730800</xdr:colOff>
      <xdr:row>67</xdr:row>
      <xdr:rowOff>94028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697882D-CA62-460A-B9C5-B9543CD80B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0</xdr:colOff>
      <xdr:row>50</xdr:row>
      <xdr:rowOff>0</xdr:rowOff>
    </xdr:from>
    <xdr:to>
      <xdr:col>48</xdr:col>
      <xdr:colOff>730800</xdr:colOff>
      <xdr:row>67</xdr:row>
      <xdr:rowOff>94028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8A8F26C6-8652-4E17-B6C3-A88124302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69</xdr:row>
      <xdr:rowOff>0</xdr:rowOff>
    </xdr:from>
    <xdr:to>
      <xdr:col>48</xdr:col>
      <xdr:colOff>730800</xdr:colOff>
      <xdr:row>86</xdr:row>
      <xdr:rowOff>94029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1B13DAD1-E300-41D6-9EC0-EF4F995A54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42</xdr:col>
      <xdr:colOff>0</xdr:colOff>
      <xdr:row>88</xdr:row>
      <xdr:rowOff>0</xdr:rowOff>
    </xdr:from>
    <xdr:to>
      <xdr:col>48</xdr:col>
      <xdr:colOff>730800</xdr:colOff>
      <xdr:row>105</xdr:row>
      <xdr:rowOff>94029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61F69A90-6E3E-4179-A000-A356F0239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35</xdr:col>
      <xdr:colOff>0</xdr:colOff>
      <xdr:row>69</xdr:row>
      <xdr:rowOff>0</xdr:rowOff>
    </xdr:from>
    <xdr:to>
      <xdr:col>41</xdr:col>
      <xdr:colOff>730800</xdr:colOff>
      <xdr:row>86</xdr:row>
      <xdr:rowOff>94029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ADEAC142-FF55-48C7-BC9F-B364E1CAF8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0</xdr:colOff>
      <xdr:row>88</xdr:row>
      <xdr:rowOff>0</xdr:rowOff>
    </xdr:from>
    <xdr:to>
      <xdr:col>41</xdr:col>
      <xdr:colOff>730800</xdr:colOff>
      <xdr:row>105</xdr:row>
      <xdr:rowOff>94029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B0158092-B77D-463C-BA80-927380CBC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35</xdr:col>
      <xdr:colOff>0</xdr:colOff>
      <xdr:row>107</xdr:row>
      <xdr:rowOff>0</xdr:rowOff>
    </xdr:from>
    <xdr:to>
      <xdr:col>41</xdr:col>
      <xdr:colOff>730800</xdr:colOff>
      <xdr:row>124</xdr:row>
      <xdr:rowOff>94028</xdr:rowOff>
    </xdr:to>
    <xdr:graphicFrame macro="">
      <xdr:nvGraphicFramePr>
        <xdr:cNvPr id="10" name="Diagramm 9">
          <a:extLst>
            <a:ext uri="{FF2B5EF4-FFF2-40B4-BE49-F238E27FC236}">
              <a16:creationId xmlns:a16="http://schemas.microsoft.com/office/drawing/2014/main" id="{443F2BB4-772E-4489-BD9A-05011D866B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50AF-46E5-4312-BAF1-C0875E2ECC28}">
  <dimension ref="A1:C3"/>
  <sheetViews>
    <sheetView workbookViewId="0"/>
  </sheetViews>
  <sheetFormatPr baseColWidth="10" defaultRowHeight="14.6" x14ac:dyDescent="0.4"/>
  <sheetData>
    <row r="1" spans="1:3" x14ac:dyDescent="0.4">
      <c r="A1" t="s">
        <v>35</v>
      </c>
    </row>
    <row r="2" spans="1:3" ht="409.6" x14ac:dyDescent="0.4">
      <c r="B2" t="s">
        <v>36</v>
      </c>
      <c r="C2" s="18" t="s">
        <v>92</v>
      </c>
    </row>
    <row r="3" spans="1:3" x14ac:dyDescent="0.4">
      <c r="B3" t="s">
        <v>37</v>
      </c>
      <c r="C3" t="s">
        <v>93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0C7A-3326-46EA-AC85-8165AAA7A2CA}">
  <dimension ref="A1:AH97"/>
  <sheetViews>
    <sheetView tabSelected="1" zoomScale="115" zoomScaleNormal="115" workbookViewId="0">
      <pane xSplit="2" ySplit="2" topLeftCell="C3" activePane="bottomRight" state="frozen"/>
      <selection pane="topRight" activeCell="B1" sqref="B1"/>
      <selection pane="bottomLeft" activeCell="A3" sqref="A3"/>
      <selection pane="bottomRight" sqref="A1:A2"/>
    </sheetView>
  </sheetViews>
  <sheetFormatPr baseColWidth="10" defaultColWidth="11" defaultRowHeight="14.6" x14ac:dyDescent="0.4"/>
  <cols>
    <col min="1" max="1" width="3.640625" style="1" customWidth="1"/>
    <col min="2" max="2" width="37.5" style="2" customWidth="1"/>
    <col min="3" max="3" width="10.7109375" style="1" customWidth="1"/>
    <col min="4" max="5" width="7.140625" style="1" customWidth="1"/>
    <col min="6" max="6" width="10.7109375" style="1" customWidth="1"/>
    <col min="7" max="8" width="7.140625" style="1" customWidth="1"/>
    <col min="9" max="9" width="10.7109375" style="1" customWidth="1"/>
    <col min="10" max="10" width="10.7109375" style="4" customWidth="1"/>
    <col min="11" max="14" width="10.7109375" style="1" customWidth="1"/>
    <col min="15" max="15" width="7.140625" style="7" customWidth="1"/>
    <col min="16" max="16" width="10.7109375" style="7" customWidth="1"/>
    <col min="17" max="18" width="7.140625" style="7" customWidth="1"/>
    <col min="19" max="19" width="10.7109375" style="7" customWidth="1"/>
    <col min="20" max="20" width="16.0703125" style="7" customWidth="1"/>
    <col min="21" max="21" width="19.92578125" style="1" customWidth="1"/>
    <col min="22" max="23" width="10.7109375" style="1" customWidth="1"/>
    <col min="24" max="25" width="12.85546875" style="1" customWidth="1"/>
    <col min="26" max="26" width="10.7109375" style="1" customWidth="1"/>
    <col min="27" max="27" width="7.140625" style="7" customWidth="1"/>
    <col min="28" max="28" width="10.7109375" style="7" customWidth="1"/>
    <col min="29" max="33" width="10.7109375" style="1" customWidth="1"/>
    <col min="35" max="16384" width="11" style="1"/>
  </cols>
  <sheetData>
    <row r="1" spans="1:33" ht="16.3" x14ac:dyDescent="0.4">
      <c r="A1" s="62" t="s">
        <v>30</v>
      </c>
      <c r="B1" s="21" t="s">
        <v>0</v>
      </c>
      <c r="C1" s="23" t="s">
        <v>77</v>
      </c>
      <c r="D1" s="23" t="s">
        <v>13</v>
      </c>
      <c r="E1" s="24" t="s">
        <v>74</v>
      </c>
      <c r="F1" s="23" t="s">
        <v>78</v>
      </c>
      <c r="G1" s="23" t="s">
        <v>14</v>
      </c>
      <c r="H1" s="24" t="s">
        <v>75</v>
      </c>
      <c r="I1" s="56" t="s">
        <v>82</v>
      </c>
      <c r="J1" s="56"/>
      <c r="K1" s="64" t="s">
        <v>16</v>
      </c>
      <c r="L1" s="64"/>
      <c r="M1" s="56" t="s">
        <v>11</v>
      </c>
      <c r="N1" s="56"/>
      <c r="O1" s="56" t="s">
        <v>43</v>
      </c>
      <c r="P1" s="56"/>
      <c r="Q1" s="56"/>
      <c r="R1" s="56"/>
      <c r="S1" s="56"/>
      <c r="T1" s="23" t="s">
        <v>9</v>
      </c>
      <c r="U1" s="65" t="s">
        <v>86</v>
      </c>
      <c r="V1" s="25" t="s">
        <v>85</v>
      </c>
      <c r="W1" s="23" t="s">
        <v>62</v>
      </c>
      <c r="X1" s="23" t="s">
        <v>68</v>
      </c>
      <c r="Y1" s="23" t="s">
        <v>69</v>
      </c>
      <c r="Z1" s="23" t="s">
        <v>67</v>
      </c>
      <c r="AA1" s="56" t="s">
        <v>12</v>
      </c>
      <c r="AB1" s="56"/>
      <c r="AC1" s="23" t="s">
        <v>64</v>
      </c>
      <c r="AD1" s="23" t="s">
        <v>65</v>
      </c>
      <c r="AE1" s="23" t="s">
        <v>66</v>
      </c>
      <c r="AF1" s="56" t="s">
        <v>87</v>
      </c>
      <c r="AG1" s="56"/>
    </row>
    <row r="2" spans="1:33" ht="16.3" x14ac:dyDescent="0.4">
      <c r="A2" s="63"/>
      <c r="B2" s="55" t="s">
        <v>79</v>
      </c>
      <c r="C2" s="50" t="s">
        <v>1</v>
      </c>
      <c r="D2" s="50"/>
      <c r="E2" s="50" t="s">
        <v>76</v>
      </c>
      <c r="F2" s="50" t="s">
        <v>1</v>
      </c>
      <c r="G2" s="50"/>
      <c r="H2" s="50" t="s">
        <v>76</v>
      </c>
      <c r="I2" s="50" t="s">
        <v>80</v>
      </c>
      <c r="J2" s="50" t="s">
        <v>81</v>
      </c>
      <c r="K2" s="51" t="s">
        <v>7</v>
      </c>
      <c r="L2" s="51" t="s">
        <v>34</v>
      </c>
      <c r="M2" s="50" t="s">
        <v>8</v>
      </c>
      <c r="N2" s="50" t="s">
        <v>33</v>
      </c>
      <c r="O2" s="50" t="s">
        <v>39</v>
      </c>
      <c r="P2" s="50" t="s">
        <v>45</v>
      </c>
      <c r="Q2" s="50" t="s">
        <v>15</v>
      </c>
      <c r="R2" s="52" t="s">
        <v>44</v>
      </c>
      <c r="S2" s="52" t="s">
        <v>84</v>
      </c>
      <c r="T2" s="53" t="s">
        <v>60</v>
      </c>
      <c r="U2" s="66"/>
      <c r="V2" s="54" t="s">
        <v>61</v>
      </c>
      <c r="W2" s="50" t="s">
        <v>61</v>
      </c>
      <c r="X2" s="50" t="s">
        <v>1</v>
      </c>
      <c r="Y2" s="50"/>
      <c r="Z2" s="50"/>
      <c r="AA2" s="50" t="s">
        <v>8</v>
      </c>
      <c r="AB2" s="50" t="s">
        <v>32</v>
      </c>
      <c r="AC2" s="50" t="s">
        <v>1</v>
      </c>
      <c r="AD2" s="50" t="s">
        <v>1</v>
      </c>
      <c r="AE2" s="50" t="s">
        <v>1</v>
      </c>
      <c r="AF2" s="50" t="s">
        <v>88</v>
      </c>
      <c r="AG2" s="50" t="s">
        <v>89</v>
      </c>
    </row>
    <row r="3" spans="1:33" ht="15" customHeight="1" x14ac:dyDescent="0.4">
      <c r="A3" s="17">
        <v>1</v>
      </c>
      <c r="B3" s="2" t="s">
        <v>2</v>
      </c>
      <c r="C3" s="3">
        <v>12.2</v>
      </c>
      <c r="D3" s="6">
        <v>5.9</v>
      </c>
      <c r="E3" s="5">
        <f>(1/2.5)*D3*100-3</f>
        <v>233.00000000000003</v>
      </c>
      <c r="F3" s="3">
        <v>13.9</v>
      </c>
      <c r="G3" s="6">
        <v>4.38</v>
      </c>
      <c r="H3" s="5">
        <f>(1/2.5)*G3*100-3</f>
        <v>172.2</v>
      </c>
      <c r="I3" s="1">
        <v>55</v>
      </c>
      <c r="J3" s="1">
        <v>41</v>
      </c>
      <c r="K3" s="6">
        <f>1.582*0.804*1.005</f>
        <v>1.2782876400000001</v>
      </c>
      <c r="L3" s="5">
        <f t="shared" ref="L3:L27" si="0">(K3/C3)*1000</f>
        <v>104.77767540983608</v>
      </c>
      <c r="M3" s="1">
        <v>183</v>
      </c>
      <c r="N3" s="3">
        <f t="shared" ref="N3:N27" si="1">M3/C3</f>
        <v>15</v>
      </c>
      <c r="O3" s="27" t="s">
        <v>40</v>
      </c>
      <c r="P3" s="27" t="s">
        <v>46</v>
      </c>
      <c r="Q3" s="28">
        <f>(1.5+0.8)*0.95</f>
        <v>2.1849999999999996</v>
      </c>
      <c r="R3" s="29">
        <v>3</v>
      </c>
      <c r="S3" s="19">
        <f>Q3*R3</f>
        <v>6.5549999999999988</v>
      </c>
      <c r="T3" s="1" t="s">
        <v>10</v>
      </c>
      <c r="U3" s="30" t="s">
        <v>83</v>
      </c>
      <c r="V3" s="31">
        <v>70</v>
      </c>
      <c r="W3" s="1">
        <v>-20</v>
      </c>
      <c r="X3" s="3">
        <v>11.7</v>
      </c>
      <c r="Y3" s="6">
        <v>4.7</v>
      </c>
      <c r="Z3" s="6"/>
      <c r="AA3" s="6">
        <v>1.5</v>
      </c>
      <c r="AB3" s="5">
        <f t="shared" ref="AB3:AB27" si="2">(AA3*1000)/C3</f>
        <v>122.95081967213116</v>
      </c>
      <c r="AC3" s="26">
        <v>12.585000000000001</v>
      </c>
      <c r="AD3" s="26">
        <v>13.521000000000001</v>
      </c>
      <c r="AE3" s="26">
        <v>3.84</v>
      </c>
      <c r="AF3" s="3">
        <f>AC3/AE3</f>
        <v>3.2773437500000004</v>
      </c>
      <c r="AG3" s="3">
        <f>AD3/AE3</f>
        <v>3.5210937500000004</v>
      </c>
    </row>
    <row r="4" spans="1:33" ht="45" customHeight="1" x14ac:dyDescent="0.4">
      <c r="A4" s="17">
        <v>2</v>
      </c>
      <c r="B4" s="22" t="s">
        <v>48</v>
      </c>
      <c r="C4" s="3">
        <v>15</v>
      </c>
      <c r="D4" s="6">
        <v>5.73</v>
      </c>
      <c r="E4" s="5">
        <f t="shared" ref="E4:E27" si="3">(1/2.5)*D4*100-3</f>
        <v>226.20000000000002</v>
      </c>
      <c r="F4" s="3">
        <v>15</v>
      </c>
      <c r="G4" s="6">
        <v>4.4800000000000004</v>
      </c>
      <c r="H4" s="5">
        <f t="shared" ref="H4:H27" si="4">(1/2.5)*G4*100-3</f>
        <v>176.20000000000002</v>
      </c>
      <c r="I4" s="1">
        <v>57</v>
      </c>
      <c r="J4" s="1">
        <v>46</v>
      </c>
      <c r="K4" s="6">
        <f>1.71*0.95*0.61</f>
        <v>0.99094499999999985</v>
      </c>
      <c r="L4" s="5">
        <f t="shared" si="0"/>
        <v>66.063000000000002</v>
      </c>
      <c r="M4" s="1">
        <v>165</v>
      </c>
      <c r="N4" s="3">
        <f t="shared" si="1"/>
        <v>11</v>
      </c>
      <c r="O4" s="27" t="s">
        <v>42</v>
      </c>
      <c r="P4" s="27" t="s">
        <v>47</v>
      </c>
      <c r="Q4" s="28">
        <f>(0.26+0.95+0.26)*0.95</f>
        <v>1.3964999999999999</v>
      </c>
      <c r="R4" s="29">
        <v>3</v>
      </c>
      <c r="S4" s="19">
        <f t="shared" ref="S4:S26" si="5">Q4*R4</f>
        <v>4.1894999999999998</v>
      </c>
      <c r="T4" s="32" t="s">
        <v>10</v>
      </c>
      <c r="U4" s="33" t="s">
        <v>63</v>
      </c>
      <c r="V4" s="31">
        <v>70</v>
      </c>
      <c r="W4" s="1">
        <v>-22</v>
      </c>
      <c r="X4" s="3">
        <v>15.1</v>
      </c>
      <c r="Y4" s="6">
        <v>4.46</v>
      </c>
      <c r="Z4" s="6">
        <v>5.67</v>
      </c>
      <c r="AA4" s="6">
        <v>1.5</v>
      </c>
      <c r="AB4" s="5">
        <f t="shared" si="2"/>
        <v>100</v>
      </c>
      <c r="AC4" s="26">
        <v>15.1</v>
      </c>
      <c r="AD4" s="26">
        <v>15.9</v>
      </c>
      <c r="AE4" s="26">
        <v>5.0999999999999996</v>
      </c>
      <c r="AF4" s="3">
        <f t="shared" ref="AF4:AF23" si="6">AC4/AE4</f>
        <v>2.9607843137254903</v>
      </c>
      <c r="AG4" s="3">
        <f t="shared" ref="AG4:AG23" si="7">AD4/AE4</f>
        <v>3.1176470588235299</v>
      </c>
    </row>
    <row r="5" spans="1:33" ht="15" customHeight="1" x14ac:dyDescent="0.4">
      <c r="A5" s="17">
        <v>3</v>
      </c>
      <c r="B5" s="2" t="s">
        <v>3</v>
      </c>
      <c r="C5" s="3">
        <v>15</v>
      </c>
      <c r="D5" s="6">
        <v>5.72</v>
      </c>
      <c r="E5" s="5">
        <f t="shared" si="3"/>
        <v>225.79999999999998</v>
      </c>
      <c r="F5" s="3">
        <v>15</v>
      </c>
      <c r="G5" s="6">
        <v>4.2300000000000004</v>
      </c>
      <c r="H5" s="5">
        <f t="shared" si="4"/>
        <v>166.20000000000002</v>
      </c>
      <c r="I5" s="1">
        <v>53</v>
      </c>
      <c r="J5" s="1">
        <v>46</v>
      </c>
      <c r="K5" s="6">
        <f>1.002*0.935*1.702</f>
        <v>1.5945527400000001</v>
      </c>
      <c r="L5" s="5">
        <f t="shared" si="0"/>
        <v>106.30351600000002</v>
      </c>
      <c r="M5" s="1">
        <v>260</v>
      </c>
      <c r="N5" s="3">
        <f t="shared" si="1"/>
        <v>17.333333333333332</v>
      </c>
      <c r="O5" s="27" t="s">
        <v>41</v>
      </c>
      <c r="P5" s="27" t="s">
        <v>47</v>
      </c>
      <c r="Q5" s="28">
        <f>0.724*0.849</f>
        <v>0.614676</v>
      </c>
      <c r="R5" s="35">
        <v>7</v>
      </c>
      <c r="S5" s="19">
        <f t="shared" si="5"/>
        <v>4.3027319999999998</v>
      </c>
      <c r="T5" s="1" t="s">
        <v>10</v>
      </c>
      <c r="U5" s="31" t="s">
        <v>63</v>
      </c>
      <c r="V5" s="36">
        <v>72</v>
      </c>
      <c r="W5" s="1">
        <v>-25</v>
      </c>
      <c r="X5" s="3">
        <v>12.3</v>
      </c>
      <c r="Y5" s="6">
        <v>5.09</v>
      </c>
      <c r="Z5" s="6">
        <v>6.65</v>
      </c>
      <c r="AA5" s="6">
        <v>4</v>
      </c>
      <c r="AB5" s="5">
        <f t="shared" si="2"/>
        <v>266.66666666666669</v>
      </c>
      <c r="AC5" s="34">
        <v>13.66</v>
      </c>
      <c r="AD5" s="34">
        <v>14.98</v>
      </c>
      <c r="AE5" s="34">
        <v>3.24</v>
      </c>
      <c r="AF5" s="3">
        <f t="shared" si="6"/>
        <v>4.216049382716049</v>
      </c>
      <c r="AG5" s="3">
        <f t="shared" si="7"/>
        <v>4.6234567901234565</v>
      </c>
    </row>
    <row r="6" spans="1:33" ht="30" customHeight="1" x14ac:dyDescent="0.4">
      <c r="A6" s="17">
        <v>4</v>
      </c>
      <c r="B6" s="22" t="s">
        <v>49</v>
      </c>
      <c r="C6" s="3">
        <v>12</v>
      </c>
      <c r="D6" s="6">
        <v>5.58</v>
      </c>
      <c r="E6" s="5">
        <f t="shared" si="3"/>
        <v>220.20000000000002</v>
      </c>
      <c r="F6" s="3">
        <v>11</v>
      </c>
      <c r="G6" s="6">
        <v>4.2</v>
      </c>
      <c r="H6" s="5">
        <f t="shared" si="4"/>
        <v>165.00000000000003</v>
      </c>
      <c r="I6" s="1">
        <v>55</v>
      </c>
      <c r="J6" s="1">
        <v>50</v>
      </c>
      <c r="K6" s="6">
        <f>1.432*1.575*0.795</f>
        <v>1.7930429999999999</v>
      </c>
      <c r="L6" s="5">
        <f t="shared" si="0"/>
        <v>149.42025000000001</v>
      </c>
      <c r="M6" s="1">
        <v>290</v>
      </c>
      <c r="N6" s="3">
        <f t="shared" si="1"/>
        <v>24.166666666666668</v>
      </c>
      <c r="O6" s="27" t="s">
        <v>40</v>
      </c>
      <c r="P6" s="27" t="s">
        <v>46</v>
      </c>
      <c r="Q6" s="28">
        <f>1.3*(1.1+0.35)</f>
        <v>1.8850000000000002</v>
      </c>
      <c r="R6" s="29">
        <v>3</v>
      </c>
      <c r="S6" s="19">
        <f t="shared" si="5"/>
        <v>5.6550000000000011</v>
      </c>
      <c r="T6" s="1" t="s">
        <v>10</v>
      </c>
      <c r="U6" s="31"/>
      <c r="V6" s="31">
        <v>70</v>
      </c>
      <c r="W6" s="1">
        <v>-20</v>
      </c>
      <c r="X6" s="3">
        <v>11.63</v>
      </c>
      <c r="Y6" s="6">
        <v>4.58</v>
      </c>
      <c r="Z6" s="6">
        <v>4.7</v>
      </c>
      <c r="AA6" s="6">
        <v>2.8</v>
      </c>
      <c r="AB6" s="5">
        <f t="shared" si="2"/>
        <v>233.33333333333334</v>
      </c>
      <c r="AC6" s="26">
        <v>11.55</v>
      </c>
      <c r="AD6" s="26">
        <v>13.3</v>
      </c>
      <c r="AE6" s="26">
        <v>5.93</v>
      </c>
      <c r="AF6" s="3">
        <f t="shared" si="6"/>
        <v>1.9477234401349075</v>
      </c>
      <c r="AG6" s="3">
        <f t="shared" si="7"/>
        <v>2.24283305227656</v>
      </c>
    </row>
    <row r="7" spans="1:33" ht="15" customHeight="1" x14ac:dyDescent="0.4">
      <c r="A7" s="17">
        <v>5</v>
      </c>
      <c r="B7" s="2" t="s">
        <v>17</v>
      </c>
      <c r="C7" s="3">
        <v>14</v>
      </c>
      <c r="D7" s="6">
        <v>5.52</v>
      </c>
      <c r="E7" s="5">
        <f t="shared" si="3"/>
        <v>217.79999999999998</v>
      </c>
      <c r="F7" s="3">
        <v>14</v>
      </c>
      <c r="G7" s="6">
        <v>4.3</v>
      </c>
      <c r="H7" s="5">
        <f t="shared" si="4"/>
        <v>169</v>
      </c>
      <c r="I7" s="1">
        <v>57</v>
      </c>
      <c r="J7" s="1">
        <v>45</v>
      </c>
      <c r="K7" s="6">
        <f>1.325*1.58*0.92</f>
        <v>1.9260200000000003</v>
      </c>
      <c r="L7" s="5">
        <f t="shared" si="0"/>
        <v>137.57285714285717</v>
      </c>
      <c r="M7" s="1">
        <v>345</v>
      </c>
      <c r="N7" s="3">
        <f t="shared" si="1"/>
        <v>24.642857142857142</v>
      </c>
      <c r="O7" s="27" t="s">
        <v>41</v>
      </c>
      <c r="P7" s="27" t="s">
        <v>46</v>
      </c>
      <c r="Q7" s="28">
        <f>0.877*1.061</f>
        <v>0.93049699999999991</v>
      </c>
      <c r="R7" s="35">
        <v>6</v>
      </c>
      <c r="S7" s="19">
        <f t="shared" si="5"/>
        <v>5.5829819999999994</v>
      </c>
      <c r="T7" s="1" t="s">
        <v>10</v>
      </c>
      <c r="U7" s="31"/>
      <c r="V7" s="31">
        <v>70</v>
      </c>
      <c r="W7" s="1">
        <v>-22</v>
      </c>
      <c r="X7" s="3"/>
      <c r="Y7" s="6"/>
      <c r="Z7" s="6"/>
      <c r="AA7" s="6">
        <v>2.8</v>
      </c>
      <c r="AB7" s="5">
        <f t="shared" si="2"/>
        <v>200</v>
      </c>
      <c r="AC7" s="26">
        <v>13.5</v>
      </c>
      <c r="AD7" s="26">
        <v>14.6</v>
      </c>
      <c r="AE7" s="37">
        <v>4.7</v>
      </c>
      <c r="AF7" s="3">
        <f t="shared" si="6"/>
        <v>2.8723404255319149</v>
      </c>
      <c r="AG7" s="3">
        <f t="shared" si="7"/>
        <v>3.1063829787234041</v>
      </c>
    </row>
    <row r="8" spans="1:33" ht="30" customHeight="1" x14ac:dyDescent="0.4">
      <c r="A8" s="17">
        <v>6</v>
      </c>
      <c r="B8" s="22" t="s">
        <v>50</v>
      </c>
      <c r="C8" s="3">
        <v>15.2</v>
      </c>
      <c r="D8" s="6">
        <v>5.49</v>
      </c>
      <c r="E8" s="5">
        <f t="shared" si="3"/>
        <v>216.60000000000002</v>
      </c>
      <c r="F8" s="3">
        <v>16.2</v>
      </c>
      <c r="G8" s="6">
        <v>4.13</v>
      </c>
      <c r="H8" s="5">
        <f t="shared" si="4"/>
        <v>162.20000000000002</v>
      </c>
      <c r="I8" s="1">
        <v>63</v>
      </c>
      <c r="J8" s="1">
        <v>52</v>
      </c>
      <c r="K8" s="6">
        <f>1.45*0.71*1.31</f>
        <v>1.3486449999999999</v>
      </c>
      <c r="L8" s="5">
        <f t="shared" si="0"/>
        <v>88.72664473684209</v>
      </c>
      <c r="M8" s="1">
        <v>280</v>
      </c>
      <c r="N8" s="3">
        <f t="shared" si="1"/>
        <v>18.421052631578949</v>
      </c>
      <c r="O8" s="27" t="s">
        <v>41</v>
      </c>
      <c r="P8" s="27" t="s">
        <v>46</v>
      </c>
      <c r="Q8" s="28">
        <f>1.049*0.925</f>
        <v>0.97032499999999999</v>
      </c>
      <c r="R8" s="29">
        <v>4</v>
      </c>
      <c r="S8" s="19">
        <f t="shared" si="5"/>
        <v>3.8813</v>
      </c>
      <c r="T8" s="32" t="s">
        <v>10</v>
      </c>
      <c r="U8" s="31"/>
      <c r="V8" s="38">
        <v>70</v>
      </c>
      <c r="W8" s="1">
        <v>-20</v>
      </c>
      <c r="X8" s="3">
        <v>13.5</v>
      </c>
      <c r="Y8" s="6">
        <v>4.97</v>
      </c>
      <c r="Z8" s="6"/>
      <c r="AA8" s="6">
        <v>3</v>
      </c>
      <c r="AB8" s="5">
        <f t="shared" si="2"/>
        <v>197.36842105263159</v>
      </c>
      <c r="AC8" s="34">
        <v>19.84</v>
      </c>
      <c r="AD8" s="34">
        <v>19.71</v>
      </c>
      <c r="AE8" s="26">
        <v>5.95</v>
      </c>
      <c r="AF8" s="3">
        <f t="shared" si="6"/>
        <v>3.3344537815126047</v>
      </c>
      <c r="AG8" s="3">
        <f t="shared" si="7"/>
        <v>3.3126050420168069</v>
      </c>
    </row>
    <row r="9" spans="1:33" ht="15" customHeight="1" x14ac:dyDescent="0.4">
      <c r="A9" s="17">
        <v>7</v>
      </c>
      <c r="B9" s="2" t="s">
        <v>4</v>
      </c>
      <c r="C9" s="3">
        <v>14</v>
      </c>
      <c r="D9" s="6">
        <v>5.45</v>
      </c>
      <c r="E9" s="5">
        <f t="shared" si="3"/>
        <v>215.00000000000003</v>
      </c>
      <c r="F9" s="3">
        <v>15</v>
      </c>
      <c r="G9" s="6">
        <v>3.93</v>
      </c>
      <c r="H9" s="5">
        <f t="shared" si="4"/>
        <v>154.20000000000002</v>
      </c>
      <c r="I9" s="1">
        <v>63</v>
      </c>
      <c r="J9" s="1">
        <v>52</v>
      </c>
      <c r="K9" s="6">
        <f>1.7*1.3*0.756</f>
        <v>1.67076</v>
      </c>
      <c r="L9" s="5">
        <f t="shared" si="0"/>
        <v>119.34</v>
      </c>
      <c r="M9" s="1">
        <v>230</v>
      </c>
      <c r="N9" s="3">
        <f t="shared" si="1"/>
        <v>16.428571428571427</v>
      </c>
      <c r="O9" s="27" t="s">
        <v>41</v>
      </c>
      <c r="P9" s="27" t="s">
        <v>46</v>
      </c>
      <c r="Q9" s="28">
        <f>1.157*1.013</f>
        <v>1.1720409999999999</v>
      </c>
      <c r="R9" s="29">
        <v>5</v>
      </c>
      <c r="S9" s="19">
        <f t="shared" si="5"/>
        <v>5.8602049999999997</v>
      </c>
      <c r="T9" s="1" t="s">
        <v>10</v>
      </c>
      <c r="U9" s="31"/>
      <c r="V9" s="31">
        <v>70</v>
      </c>
      <c r="W9" s="1">
        <v>-22</v>
      </c>
      <c r="X9" s="3">
        <v>9.6999999999999993</v>
      </c>
      <c r="Y9" s="6">
        <v>5.8</v>
      </c>
      <c r="Z9" s="6">
        <v>5.09</v>
      </c>
      <c r="AA9" s="6">
        <v>3.8</v>
      </c>
      <c r="AB9" s="5">
        <f t="shared" si="2"/>
        <v>271.42857142857144</v>
      </c>
      <c r="AC9" s="34">
        <v>15.91</v>
      </c>
      <c r="AD9" s="34">
        <v>16.64</v>
      </c>
      <c r="AE9" s="34">
        <v>5.9</v>
      </c>
      <c r="AF9" s="3">
        <f t="shared" si="6"/>
        <v>2.6966101694915254</v>
      </c>
      <c r="AG9" s="3">
        <f t="shared" si="7"/>
        <v>2.8203389830508474</v>
      </c>
    </row>
    <row r="10" spans="1:33" ht="15" customHeight="1" x14ac:dyDescent="0.4">
      <c r="A10" s="17">
        <v>8</v>
      </c>
      <c r="B10" s="2" t="s">
        <v>5</v>
      </c>
      <c r="C10" s="3">
        <v>13.3</v>
      </c>
      <c r="D10" s="6">
        <v>5.43</v>
      </c>
      <c r="E10" s="5">
        <f t="shared" si="3"/>
        <v>214.20000000000002</v>
      </c>
      <c r="F10" s="3">
        <v>12.8</v>
      </c>
      <c r="G10" s="6">
        <v>4.18</v>
      </c>
      <c r="H10" s="5">
        <f t="shared" si="4"/>
        <v>164.2</v>
      </c>
      <c r="I10" s="1">
        <v>66</v>
      </c>
      <c r="J10" s="1">
        <v>58</v>
      </c>
      <c r="K10" s="6">
        <f>1.593*1.292*0.502</f>
        <v>1.033194312</v>
      </c>
      <c r="L10" s="5">
        <f t="shared" si="0"/>
        <v>77.683782857142845</v>
      </c>
      <c r="M10" s="1">
        <v>241</v>
      </c>
      <c r="N10" s="3">
        <f t="shared" si="1"/>
        <v>18.120300751879697</v>
      </c>
      <c r="O10" s="27" t="s">
        <v>40</v>
      </c>
      <c r="P10" s="27" t="s">
        <v>46</v>
      </c>
      <c r="Q10" s="28">
        <f>(0.691+0.299)*1.399</f>
        <v>1.3850100000000001</v>
      </c>
      <c r="R10" s="29"/>
      <c r="S10" s="19"/>
      <c r="T10" s="1"/>
      <c r="U10" s="31" t="s">
        <v>63</v>
      </c>
      <c r="V10" s="31">
        <v>70</v>
      </c>
      <c r="W10" s="1">
        <v>-25</v>
      </c>
      <c r="X10" s="3">
        <v>13.2</v>
      </c>
      <c r="Y10" s="6">
        <v>4.12</v>
      </c>
      <c r="Z10" s="6"/>
      <c r="AA10" s="6">
        <v>1.75</v>
      </c>
      <c r="AB10" s="5">
        <f t="shared" si="2"/>
        <v>131.57894736842104</v>
      </c>
      <c r="AC10" s="34">
        <v>7.89</v>
      </c>
      <c r="AD10" s="34">
        <v>9.0500000000000007</v>
      </c>
      <c r="AE10" s="37">
        <v>4.75</v>
      </c>
      <c r="AF10" s="3">
        <f t="shared" si="6"/>
        <v>1.6610526315789473</v>
      </c>
      <c r="AG10" s="3">
        <f t="shared" si="7"/>
        <v>1.905263157894737</v>
      </c>
    </row>
    <row r="11" spans="1:33" ht="15" customHeight="1" x14ac:dyDescent="0.4">
      <c r="A11" s="17">
        <v>9</v>
      </c>
      <c r="B11" s="2" t="s">
        <v>31</v>
      </c>
      <c r="C11" s="3">
        <v>15</v>
      </c>
      <c r="D11" s="6">
        <v>5.375</v>
      </c>
      <c r="E11" s="5">
        <f t="shared" si="3"/>
        <v>212</v>
      </c>
      <c r="F11" s="3">
        <v>14.3</v>
      </c>
      <c r="G11" s="6">
        <v>4.1749999999999998</v>
      </c>
      <c r="H11" s="5">
        <f t="shared" si="4"/>
        <v>164</v>
      </c>
      <c r="I11" s="1">
        <v>63</v>
      </c>
      <c r="J11" s="1">
        <v>51</v>
      </c>
      <c r="K11" s="6">
        <f>1.591*1.041*0.584</f>
        <v>0.96723890399999979</v>
      </c>
      <c r="L11" s="5">
        <f t="shared" si="0"/>
        <v>64.482593599999987</v>
      </c>
      <c r="M11" s="1">
        <v>220</v>
      </c>
      <c r="N11" s="3">
        <f t="shared" si="1"/>
        <v>14.666666666666666</v>
      </c>
      <c r="O11" s="27" t="s">
        <v>40</v>
      </c>
      <c r="P11" s="27" t="s">
        <v>46</v>
      </c>
      <c r="Q11" s="28">
        <f>(1.139+0.435)*0.994</f>
        <v>1.5645560000000001</v>
      </c>
      <c r="R11" s="35">
        <v>3</v>
      </c>
      <c r="S11" s="19">
        <f t="shared" si="5"/>
        <v>4.6936680000000006</v>
      </c>
      <c r="T11" s="1" t="s">
        <v>10</v>
      </c>
      <c r="U11" s="31" t="s">
        <v>71</v>
      </c>
      <c r="V11" s="31">
        <v>65</v>
      </c>
      <c r="W11" s="1">
        <v>-25</v>
      </c>
      <c r="X11" s="3">
        <v>12</v>
      </c>
      <c r="Y11" s="6">
        <v>5.41</v>
      </c>
      <c r="Z11" s="6"/>
      <c r="AA11" s="6">
        <v>1.8</v>
      </c>
      <c r="AB11" s="5">
        <f t="shared" si="2"/>
        <v>120</v>
      </c>
      <c r="AC11" s="26">
        <v>12.54</v>
      </c>
      <c r="AD11" s="26">
        <v>13.24</v>
      </c>
      <c r="AE11" s="34">
        <v>5.42</v>
      </c>
      <c r="AF11" s="3">
        <f t="shared" si="6"/>
        <v>2.3136531365313653</v>
      </c>
      <c r="AG11" s="3">
        <f t="shared" si="7"/>
        <v>2.4428044280442807</v>
      </c>
    </row>
    <row r="12" spans="1:33" ht="30" customHeight="1" x14ac:dyDescent="0.4">
      <c r="A12" s="17">
        <v>10</v>
      </c>
      <c r="B12" s="22" t="s">
        <v>59</v>
      </c>
      <c r="C12" s="3">
        <v>11.6</v>
      </c>
      <c r="D12" s="6">
        <v>5.35</v>
      </c>
      <c r="E12" s="5">
        <f t="shared" si="3"/>
        <v>211</v>
      </c>
      <c r="F12" s="3">
        <v>12.2</v>
      </c>
      <c r="G12" s="6">
        <v>4.09</v>
      </c>
      <c r="H12" s="5">
        <f t="shared" si="4"/>
        <v>160.60000000000002</v>
      </c>
      <c r="I12" s="1">
        <v>62</v>
      </c>
      <c r="J12" s="1">
        <v>54</v>
      </c>
      <c r="K12" s="6">
        <f>1.409*1.195*0.641</f>
        <v>1.0792869550000002</v>
      </c>
      <c r="L12" s="5">
        <f t="shared" si="0"/>
        <v>93.041978879310363</v>
      </c>
      <c r="M12" s="1">
        <v>205</v>
      </c>
      <c r="N12" s="3">
        <f t="shared" si="1"/>
        <v>17.672413793103448</v>
      </c>
      <c r="O12" s="27" t="s">
        <v>41</v>
      </c>
      <c r="P12" s="27" t="s">
        <v>46</v>
      </c>
      <c r="Q12" s="28">
        <f>1.1*0.913</f>
        <v>1.0043000000000002</v>
      </c>
      <c r="R12" s="35">
        <v>2</v>
      </c>
      <c r="S12" s="19">
        <f t="shared" si="5"/>
        <v>2.0086000000000004</v>
      </c>
      <c r="T12" s="1" t="s">
        <v>20</v>
      </c>
      <c r="U12" s="33" t="s">
        <v>70</v>
      </c>
      <c r="V12" s="33">
        <v>69</v>
      </c>
      <c r="W12" s="1">
        <v>-25</v>
      </c>
      <c r="X12" s="39">
        <v>11.9</v>
      </c>
      <c r="Y12" s="40">
        <v>4.12</v>
      </c>
      <c r="Z12" s="6"/>
      <c r="AA12" s="6">
        <v>1.2</v>
      </c>
      <c r="AB12" s="5">
        <f t="shared" si="2"/>
        <v>103.44827586206897</v>
      </c>
      <c r="AC12" s="37">
        <v>10.8</v>
      </c>
      <c r="AD12" s="26">
        <v>13.57</v>
      </c>
      <c r="AE12" s="26">
        <v>4.28</v>
      </c>
      <c r="AF12" s="3">
        <f t="shared" si="6"/>
        <v>2.5233644859813085</v>
      </c>
      <c r="AG12" s="3">
        <f t="shared" si="7"/>
        <v>3.1705607476635511</v>
      </c>
    </row>
    <row r="13" spans="1:33" ht="30" customHeight="1" x14ac:dyDescent="0.4">
      <c r="A13" s="17">
        <v>11</v>
      </c>
      <c r="B13" s="22" t="s">
        <v>51</v>
      </c>
      <c r="C13" s="3">
        <v>16</v>
      </c>
      <c r="D13" s="6">
        <v>5.16</v>
      </c>
      <c r="E13" s="5">
        <f t="shared" si="3"/>
        <v>203.4</v>
      </c>
      <c r="F13" s="3">
        <v>15.4</v>
      </c>
      <c r="G13" s="6">
        <v>3.94</v>
      </c>
      <c r="H13" s="5">
        <f t="shared" si="4"/>
        <v>154.6</v>
      </c>
      <c r="I13" s="1">
        <v>62</v>
      </c>
      <c r="J13" s="1">
        <v>53</v>
      </c>
      <c r="K13" s="6">
        <f>1.123*1.747*0.622</f>
        <v>1.2202899820000002</v>
      </c>
      <c r="L13" s="5">
        <f t="shared" si="0"/>
        <v>76.268123875000015</v>
      </c>
      <c r="M13" s="1">
        <v>295</v>
      </c>
      <c r="N13" s="3">
        <f t="shared" si="1"/>
        <v>18.4375</v>
      </c>
      <c r="O13" s="27"/>
      <c r="P13" s="27" t="s">
        <v>46</v>
      </c>
      <c r="Q13" s="28"/>
      <c r="R13" s="29"/>
      <c r="S13" s="19"/>
      <c r="T13" s="1"/>
      <c r="U13" s="31"/>
      <c r="V13" s="33">
        <v>73</v>
      </c>
      <c r="W13" s="1">
        <v>-30</v>
      </c>
      <c r="X13" s="3">
        <v>14.9</v>
      </c>
      <c r="Y13" s="6">
        <v>5.14</v>
      </c>
      <c r="Z13" s="6"/>
      <c r="AA13" s="6">
        <v>3.1</v>
      </c>
      <c r="AB13" s="5">
        <f t="shared" si="2"/>
        <v>193.75</v>
      </c>
      <c r="AC13" s="41">
        <v>12.34</v>
      </c>
      <c r="AD13" s="41">
        <v>13.55</v>
      </c>
      <c r="AE13" s="41">
        <v>5.04</v>
      </c>
      <c r="AF13" s="3">
        <f t="shared" ref="AF13" si="8">AC13/AE13</f>
        <v>2.4484126984126982</v>
      </c>
      <c r="AG13" s="3">
        <f t="shared" ref="AG13" si="9">AD13/AE13</f>
        <v>2.6884920634920637</v>
      </c>
    </row>
    <row r="14" spans="1:33" ht="15" customHeight="1" x14ac:dyDescent="0.4">
      <c r="A14" s="17">
        <v>12</v>
      </c>
      <c r="B14" s="2" t="s">
        <v>21</v>
      </c>
      <c r="C14" s="3">
        <v>12.4</v>
      </c>
      <c r="D14" s="6">
        <v>5.0999999999999996</v>
      </c>
      <c r="E14" s="5">
        <f t="shared" si="3"/>
        <v>201</v>
      </c>
      <c r="F14" s="3">
        <v>12.1</v>
      </c>
      <c r="G14" s="6">
        <v>4.13</v>
      </c>
      <c r="H14" s="5">
        <f t="shared" si="4"/>
        <v>162.20000000000002</v>
      </c>
      <c r="I14" s="1">
        <v>59</v>
      </c>
      <c r="J14" s="1">
        <v>54</v>
      </c>
      <c r="K14" s="6">
        <f>0.6*1.144*1.382</f>
        <v>0.9486047999999998</v>
      </c>
      <c r="L14" s="5">
        <f t="shared" si="0"/>
        <v>76.500387096774176</v>
      </c>
      <c r="M14" s="1">
        <v>221</v>
      </c>
      <c r="N14" s="3">
        <f t="shared" si="1"/>
        <v>17.822580645161288</v>
      </c>
      <c r="O14" s="27" t="s">
        <v>41</v>
      </c>
      <c r="P14" s="27" t="s">
        <v>46</v>
      </c>
      <c r="Q14" s="28">
        <f>0.752*1.299</f>
        <v>0.97684799999999994</v>
      </c>
      <c r="R14" s="35">
        <v>3</v>
      </c>
      <c r="S14" s="19">
        <f t="shared" si="5"/>
        <v>2.9305439999999998</v>
      </c>
      <c r="T14" s="1" t="s">
        <v>20</v>
      </c>
      <c r="U14" s="31" t="s">
        <v>63</v>
      </c>
      <c r="V14" s="31">
        <v>70</v>
      </c>
      <c r="W14" s="1">
        <v>-20</v>
      </c>
      <c r="X14" s="3">
        <v>8.1999999999999993</v>
      </c>
      <c r="Y14" s="6">
        <v>4.9000000000000004</v>
      </c>
      <c r="Z14" s="6">
        <v>6.78</v>
      </c>
      <c r="AA14" s="6">
        <v>2</v>
      </c>
      <c r="AB14" s="5">
        <f t="shared" si="2"/>
        <v>161.29032258064515</v>
      </c>
      <c r="AC14" s="39">
        <v>10.6</v>
      </c>
      <c r="AD14" s="39">
        <v>11.13</v>
      </c>
      <c r="AE14" s="39">
        <v>3</v>
      </c>
      <c r="AF14" s="3">
        <f t="shared" si="6"/>
        <v>3.5333333333333332</v>
      </c>
      <c r="AG14" s="3">
        <f t="shared" si="7"/>
        <v>3.7100000000000004</v>
      </c>
    </row>
    <row r="15" spans="1:33" ht="15" customHeight="1" x14ac:dyDescent="0.4">
      <c r="A15" s="17">
        <v>13</v>
      </c>
      <c r="B15" s="2" t="s">
        <v>26</v>
      </c>
      <c r="C15" s="3">
        <v>12</v>
      </c>
      <c r="D15" s="6">
        <v>5.0999999999999996</v>
      </c>
      <c r="E15" s="5">
        <f t="shared" si="3"/>
        <v>201</v>
      </c>
      <c r="F15" s="3">
        <v>12</v>
      </c>
      <c r="G15" s="6">
        <v>3.9249999999999998</v>
      </c>
      <c r="H15" s="5">
        <f t="shared" si="4"/>
        <v>154</v>
      </c>
      <c r="I15" s="1">
        <v>61</v>
      </c>
      <c r="J15" s="1">
        <v>52</v>
      </c>
      <c r="K15" s="6">
        <f>1.019*1.56*0.52</f>
        <v>0.82661280000000004</v>
      </c>
      <c r="L15" s="5">
        <f t="shared" si="0"/>
        <v>68.884399999999999</v>
      </c>
      <c r="M15" s="1">
        <v>181</v>
      </c>
      <c r="N15" s="3">
        <f t="shared" si="1"/>
        <v>15.083333333333334</v>
      </c>
      <c r="O15" s="27" t="s">
        <v>40</v>
      </c>
      <c r="P15" s="27" t="s">
        <v>46</v>
      </c>
      <c r="Q15" s="28">
        <f>0.93*(0.93+0.442)</f>
        <v>1.2759600000000002</v>
      </c>
      <c r="R15" s="35">
        <v>3</v>
      </c>
      <c r="S15" s="19">
        <f t="shared" si="5"/>
        <v>3.8278800000000004</v>
      </c>
      <c r="T15" s="1" t="s">
        <v>10</v>
      </c>
      <c r="U15" s="31" t="s">
        <v>71</v>
      </c>
      <c r="V15" s="31">
        <v>70</v>
      </c>
      <c r="W15" s="1">
        <v>-28</v>
      </c>
      <c r="X15" s="3">
        <v>12.5</v>
      </c>
      <c r="Y15" s="6">
        <v>3.7</v>
      </c>
      <c r="Z15" s="6"/>
      <c r="AA15" s="6">
        <v>1.2</v>
      </c>
      <c r="AB15" s="5">
        <f t="shared" si="2"/>
        <v>100</v>
      </c>
      <c r="AC15" s="39">
        <v>12.58</v>
      </c>
      <c r="AD15" s="39">
        <v>16</v>
      </c>
      <c r="AE15" s="42">
        <v>4.2</v>
      </c>
      <c r="AF15" s="3">
        <f t="shared" si="6"/>
        <v>2.9952380952380953</v>
      </c>
      <c r="AG15" s="3">
        <f t="shared" si="7"/>
        <v>3.8095238095238093</v>
      </c>
    </row>
    <row r="16" spans="1:33" ht="60" customHeight="1" x14ac:dyDescent="0.4">
      <c r="A16" s="17">
        <v>14</v>
      </c>
      <c r="B16" s="22" t="s">
        <v>52</v>
      </c>
      <c r="C16" s="3">
        <v>15.6</v>
      </c>
      <c r="D16" s="6">
        <v>4.9550000000000001</v>
      </c>
      <c r="E16" s="5">
        <f t="shared" si="3"/>
        <v>195.20000000000002</v>
      </c>
      <c r="F16" s="3">
        <v>15.3</v>
      </c>
      <c r="G16" s="6">
        <v>3.895</v>
      </c>
      <c r="H16" s="5">
        <f t="shared" si="4"/>
        <v>152.80000000000001</v>
      </c>
      <c r="I16" s="1">
        <v>60</v>
      </c>
      <c r="J16" s="1">
        <v>46</v>
      </c>
      <c r="K16" s="6">
        <f>1.33*1.24*0.645</f>
        <v>1.063734</v>
      </c>
      <c r="L16" s="5">
        <f t="shared" si="0"/>
        <v>68.18807692307692</v>
      </c>
      <c r="M16" s="1">
        <v>189</v>
      </c>
      <c r="N16" s="3">
        <f t="shared" si="1"/>
        <v>12.115384615384615</v>
      </c>
      <c r="O16" s="27" t="s">
        <v>40</v>
      </c>
      <c r="P16" s="27" t="s">
        <v>46</v>
      </c>
      <c r="Q16" s="28">
        <f>1.096*(1.016+0.369)</f>
        <v>1.5179600000000002</v>
      </c>
      <c r="R16" s="35">
        <v>4</v>
      </c>
      <c r="S16" s="19">
        <f t="shared" si="5"/>
        <v>6.0718400000000008</v>
      </c>
      <c r="T16" s="32" t="s">
        <v>10</v>
      </c>
      <c r="U16" s="31"/>
      <c r="V16" s="33">
        <v>73</v>
      </c>
      <c r="W16" s="1">
        <v>-22</v>
      </c>
      <c r="X16" s="3">
        <v>8.1999999999999993</v>
      </c>
      <c r="Y16" s="6">
        <v>4.5199999999999996</v>
      </c>
      <c r="Z16" s="6"/>
      <c r="AA16" s="6">
        <v>1.9</v>
      </c>
      <c r="AB16" s="5">
        <f t="shared" si="2"/>
        <v>121.7948717948718</v>
      </c>
      <c r="AC16" s="39">
        <v>12.69</v>
      </c>
      <c r="AD16" s="39">
        <v>13</v>
      </c>
      <c r="AE16" s="39">
        <v>5.47</v>
      </c>
      <c r="AF16" s="3">
        <f t="shared" si="6"/>
        <v>2.3199268738574039</v>
      </c>
      <c r="AG16" s="3">
        <f t="shared" si="7"/>
        <v>2.376599634369287</v>
      </c>
    </row>
    <row r="17" spans="1:33" ht="15" customHeight="1" x14ac:dyDescent="0.4">
      <c r="A17" s="17">
        <v>15</v>
      </c>
      <c r="B17" s="2" t="s">
        <v>18</v>
      </c>
      <c r="C17" s="3">
        <v>12</v>
      </c>
      <c r="D17" s="6">
        <v>4.95</v>
      </c>
      <c r="E17" s="5">
        <f t="shared" si="3"/>
        <v>195.00000000000003</v>
      </c>
      <c r="F17" s="3">
        <v>12</v>
      </c>
      <c r="G17" s="6">
        <v>4</v>
      </c>
      <c r="H17" s="5">
        <f t="shared" si="4"/>
        <v>157</v>
      </c>
      <c r="I17" s="1">
        <v>59</v>
      </c>
      <c r="J17" s="1">
        <v>46</v>
      </c>
      <c r="K17" s="6">
        <f>1.144*1.17*0.727</f>
        <v>0.97307495999999993</v>
      </c>
      <c r="L17" s="5">
        <f t="shared" si="0"/>
        <v>81.089579999999998</v>
      </c>
      <c r="M17" s="1">
        <v>166</v>
      </c>
      <c r="N17" s="3">
        <f t="shared" si="1"/>
        <v>13.833333333333334</v>
      </c>
      <c r="O17" s="27" t="s">
        <v>41</v>
      </c>
      <c r="P17" s="27" t="s">
        <v>46</v>
      </c>
      <c r="Q17" s="28">
        <f>0.803*0.9</f>
        <v>0.72270000000000001</v>
      </c>
      <c r="R17" s="29"/>
      <c r="S17" s="19"/>
      <c r="T17" s="1"/>
      <c r="U17" s="31"/>
      <c r="V17" s="36">
        <v>75</v>
      </c>
      <c r="W17" s="1">
        <v>-25</v>
      </c>
      <c r="X17" s="43">
        <v>10.51</v>
      </c>
      <c r="Y17" s="6"/>
      <c r="Z17" s="6"/>
      <c r="AA17" s="6">
        <v>1.6</v>
      </c>
      <c r="AB17" s="5">
        <f t="shared" si="2"/>
        <v>133.33333333333334</v>
      </c>
      <c r="AC17" s="39">
        <v>10.02</v>
      </c>
      <c r="AD17" s="39">
        <v>10.07</v>
      </c>
      <c r="AE17" s="39">
        <v>3.69</v>
      </c>
      <c r="AF17" s="3">
        <f t="shared" si="6"/>
        <v>2.7154471544715446</v>
      </c>
      <c r="AG17" s="3">
        <f t="shared" si="7"/>
        <v>2.7289972899729</v>
      </c>
    </row>
    <row r="18" spans="1:33" ht="15" customHeight="1" x14ac:dyDescent="0.4">
      <c r="A18" s="17">
        <v>16</v>
      </c>
      <c r="B18" s="2" t="s">
        <v>72</v>
      </c>
      <c r="C18" s="3">
        <v>12</v>
      </c>
      <c r="D18" s="6">
        <v>4.95</v>
      </c>
      <c r="E18" s="5">
        <f t="shared" si="3"/>
        <v>195.00000000000003</v>
      </c>
      <c r="F18" s="3">
        <v>14</v>
      </c>
      <c r="G18" s="6">
        <v>3.8250000000000002</v>
      </c>
      <c r="H18" s="5">
        <f t="shared" si="4"/>
        <v>150.00000000000003</v>
      </c>
      <c r="I18" s="1">
        <v>61</v>
      </c>
      <c r="J18" s="1">
        <v>52</v>
      </c>
      <c r="K18" s="6">
        <f>1.33*1.123*0.604</f>
        <v>0.90212835999999996</v>
      </c>
      <c r="L18" s="5">
        <f t="shared" si="0"/>
        <v>75.177363333333332</v>
      </c>
      <c r="M18" s="1">
        <v>191</v>
      </c>
      <c r="N18" s="3">
        <f t="shared" si="1"/>
        <v>15.916666666666666</v>
      </c>
      <c r="O18" s="27" t="s">
        <v>40</v>
      </c>
      <c r="P18" s="27" t="s">
        <v>46</v>
      </c>
      <c r="Q18" s="28">
        <f>1.022*(0.905+0.406)</f>
        <v>1.339842</v>
      </c>
      <c r="R18" s="29"/>
      <c r="S18" s="19"/>
      <c r="T18" s="44" t="s">
        <v>10</v>
      </c>
      <c r="U18" s="31" t="s">
        <v>71</v>
      </c>
      <c r="V18" s="31">
        <v>75</v>
      </c>
      <c r="W18" s="1">
        <v>-28</v>
      </c>
      <c r="X18" s="3">
        <v>6.74</v>
      </c>
      <c r="Y18" s="6">
        <v>6.02</v>
      </c>
      <c r="Z18" s="6">
        <v>5.12</v>
      </c>
      <c r="AA18" s="6">
        <v>1.25</v>
      </c>
      <c r="AB18" s="5">
        <f t="shared" si="2"/>
        <v>104.16666666666667</v>
      </c>
      <c r="AC18" s="39">
        <v>13.3</v>
      </c>
      <c r="AD18" s="41">
        <v>13.71</v>
      </c>
      <c r="AE18" s="41">
        <v>2.98</v>
      </c>
      <c r="AF18" s="3">
        <f t="shared" si="6"/>
        <v>4.4630872483221475</v>
      </c>
      <c r="AG18" s="3">
        <f t="shared" si="7"/>
        <v>4.6006711409395979</v>
      </c>
    </row>
    <row r="19" spans="1:33" ht="30" customHeight="1" x14ac:dyDescent="0.4">
      <c r="A19" s="17">
        <v>17</v>
      </c>
      <c r="B19" s="22" t="s">
        <v>53</v>
      </c>
      <c r="C19" s="3">
        <v>12.1</v>
      </c>
      <c r="D19" s="6">
        <v>4.9249999999999998</v>
      </c>
      <c r="E19" s="5">
        <f t="shared" si="3"/>
        <v>194</v>
      </c>
      <c r="F19" s="3">
        <v>12.1</v>
      </c>
      <c r="G19" s="6">
        <v>3.95</v>
      </c>
      <c r="H19" s="5">
        <f t="shared" si="4"/>
        <v>155</v>
      </c>
      <c r="I19" s="1">
        <v>61</v>
      </c>
      <c r="J19" s="1">
        <v>55</v>
      </c>
      <c r="K19" s="6">
        <f>1.051*1.33*0.475</f>
        <v>0.66396924999999996</v>
      </c>
      <c r="L19" s="5">
        <f t="shared" si="0"/>
        <v>54.873491735537193</v>
      </c>
      <c r="M19" s="1">
        <v>169</v>
      </c>
      <c r="N19" s="3">
        <f t="shared" si="1"/>
        <v>13.966942148760332</v>
      </c>
      <c r="O19" s="27" t="s">
        <v>40</v>
      </c>
      <c r="P19" s="27" t="s">
        <v>46</v>
      </c>
      <c r="Q19" s="28">
        <f>(0.475+0.178+0.679)*1.051</f>
        <v>1.399932</v>
      </c>
      <c r="R19" s="35">
        <v>3</v>
      </c>
      <c r="S19" s="19">
        <f t="shared" si="5"/>
        <v>4.1997960000000001</v>
      </c>
      <c r="T19" s="1" t="s">
        <v>20</v>
      </c>
      <c r="U19" s="31"/>
      <c r="V19" s="31">
        <v>80</v>
      </c>
      <c r="W19" s="1">
        <v>-25</v>
      </c>
      <c r="X19" s="3">
        <v>12</v>
      </c>
      <c r="Y19" s="6">
        <v>4.5999999999999996</v>
      </c>
      <c r="Z19" s="6">
        <v>7.03</v>
      </c>
      <c r="AA19" s="6">
        <v>1.5</v>
      </c>
      <c r="AB19" s="5">
        <f t="shared" si="2"/>
        <v>123.96694214876034</v>
      </c>
      <c r="AC19" s="39">
        <v>11.36</v>
      </c>
      <c r="AD19" s="39">
        <v>12.36</v>
      </c>
      <c r="AE19" s="39">
        <v>5.34</v>
      </c>
      <c r="AF19" s="3">
        <f t="shared" si="6"/>
        <v>2.1273408239700373</v>
      </c>
      <c r="AG19" s="3">
        <f t="shared" si="7"/>
        <v>2.3146067415730336</v>
      </c>
    </row>
    <row r="20" spans="1:33" ht="30" customHeight="1" x14ac:dyDescent="0.4">
      <c r="A20" s="17">
        <v>18</v>
      </c>
      <c r="B20" s="22" t="s">
        <v>54</v>
      </c>
      <c r="C20" s="3">
        <v>14.6</v>
      </c>
      <c r="D20" s="6">
        <v>4.9000000000000004</v>
      </c>
      <c r="E20" s="5">
        <f t="shared" si="3"/>
        <v>193.00000000000003</v>
      </c>
      <c r="F20" s="3">
        <v>14.8</v>
      </c>
      <c r="G20" s="6">
        <v>4</v>
      </c>
      <c r="H20" s="5">
        <f t="shared" si="4"/>
        <v>157</v>
      </c>
      <c r="I20" s="1">
        <v>60</v>
      </c>
      <c r="J20" s="1">
        <v>45</v>
      </c>
      <c r="K20" s="6">
        <f>1.365*1.17*0.727</f>
        <v>1.1610553499999998</v>
      </c>
      <c r="L20" s="5">
        <f t="shared" si="0"/>
        <v>79.524339041095871</v>
      </c>
      <c r="M20" s="1">
        <v>205</v>
      </c>
      <c r="N20" s="3">
        <f t="shared" si="1"/>
        <v>14.04109589041096</v>
      </c>
      <c r="O20" s="27" t="s">
        <v>41</v>
      </c>
      <c r="P20" s="27" t="s">
        <v>46</v>
      </c>
      <c r="Q20" s="28">
        <f>1.126*0.803</f>
        <v>0.90417799999999993</v>
      </c>
      <c r="R20" s="29"/>
      <c r="S20" s="19"/>
      <c r="T20" s="1"/>
      <c r="U20" s="31"/>
      <c r="V20" s="31">
        <v>75</v>
      </c>
      <c r="W20" s="1">
        <v>-25</v>
      </c>
      <c r="X20" s="3">
        <v>5.81</v>
      </c>
      <c r="Y20" s="6">
        <v>5.41</v>
      </c>
      <c r="Z20" s="6"/>
      <c r="AA20" s="6">
        <v>2.15</v>
      </c>
      <c r="AB20" s="5">
        <f t="shared" si="2"/>
        <v>147.26027397260273</v>
      </c>
      <c r="AC20" s="39">
        <v>13.11</v>
      </c>
      <c r="AD20" s="39">
        <v>13.15</v>
      </c>
      <c r="AE20" s="39">
        <v>5.1100000000000003</v>
      </c>
      <c r="AF20" s="3">
        <f t="shared" si="6"/>
        <v>2.5655577299412915</v>
      </c>
      <c r="AG20" s="3">
        <f t="shared" si="7"/>
        <v>2.5733855185909977</v>
      </c>
    </row>
    <row r="21" spans="1:33" ht="15" customHeight="1" x14ac:dyDescent="0.4">
      <c r="A21" s="17">
        <v>19</v>
      </c>
      <c r="B21" s="2" t="s">
        <v>27</v>
      </c>
      <c r="C21" s="3">
        <v>13</v>
      </c>
      <c r="D21" s="6">
        <v>4.9000000000000004</v>
      </c>
      <c r="E21" s="5">
        <f t="shared" si="3"/>
        <v>193.00000000000003</v>
      </c>
      <c r="F21" s="3">
        <v>12</v>
      </c>
      <c r="G21" s="6">
        <v>3.7250000000000001</v>
      </c>
      <c r="H21" s="5">
        <f t="shared" si="4"/>
        <v>146.00000000000003</v>
      </c>
      <c r="I21" s="5">
        <v>60.5</v>
      </c>
      <c r="J21" s="1">
        <v>59</v>
      </c>
      <c r="K21" s="6">
        <f>1.565*1.1*0.45</f>
        <v>0.774675</v>
      </c>
      <c r="L21" s="5">
        <f t="shared" si="0"/>
        <v>59.590384615384615</v>
      </c>
      <c r="M21" s="1">
        <v>218</v>
      </c>
      <c r="N21" s="3">
        <f t="shared" si="1"/>
        <v>16.76923076923077</v>
      </c>
      <c r="O21" s="27" t="s">
        <v>41</v>
      </c>
      <c r="P21" s="27" t="s">
        <v>46</v>
      </c>
      <c r="Q21" s="28">
        <f>1.443*0.686</f>
        <v>0.98989800000000017</v>
      </c>
      <c r="R21" s="29"/>
      <c r="S21" s="19"/>
      <c r="T21" s="1" t="s">
        <v>10</v>
      </c>
      <c r="U21" s="33" t="s">
        <v>70</v>
      </c>
      <c r="V21" s="31">
        <v>70</v>
      </c>
      <c r="W21" s="1">
        <v>-25</v>
      </c>
      <c r="X21" s="3">
        <v>10.8</v>
      </c>
      <c r="Y21" s="6">
        <v>4.5999999999999996</v>
      </c>
      <c r="Z21" s="6"/>
      <c r="AA21" s="6">
        <v>1.3</v>
      </c>
      <c r="AB21" s="5">
        <f t="shared" si="2"/>
        <v>100</v>
      </c>
      <c r="AC21" s="41">
        <v>10.93</v>
      </c>
      <c r="AD21" s="39">
        <v>12.2</v>
      </c>
      <c r="AE21" s="39">
        <v>5.4</v>
      </c>
      <c r="AF21" s="3">
        <f t="shared" si="6"/>
        <v>2.0240740740740737</v>
      </c>
      <c r="AG21" s="3">
        <f t="shared" si="7"/>
        <v>2.2592592592592591</v>
      </c>
    </row>
    <row r="22" spans="1:33" ht="45" customHeight="1" x14ac:dyDescent="0.4">
      <c r="A22" s="17">
        <v>20</v>
      </c>
      <c r="B22" s="22" t="s">
        <v>55</v>
      </c>
      <c r="C22" s="3">
        <v>12</v>
      </c>
      <c r="D22" s="6">
        <v>4.9000000000000004</v>
      </c>
      <c r="E22" s="5">
        <f t="shared" si="3"/>
        <v>193.00000000000003</v>
      </c>
      <c r="F22" s="3">
        <v>12</v>
      </c>
      <c r="G22" s="6">
        <v>3.65</v>
      </c>
      <c r="H22" s="5">
        <f t="shared" si="4"/>
        <v>143</v>
      </c>
      <c r="I22" s="1">
        <v>60</v>
      </c>
      <c r="J22" s="1">
        <v>60</v>
      </c>
      <c r="K22" s="6">
        <f>1.27*1.018*0.53</f>
        <v>0.68521580000000015</v>
      </c>
      <c r="L22" s="5">
        <f t="shared" si="0"/>
        <v>57.101316666666676</v>
      </c>
      <c r="M22" s="1">
        <v>140</v>
      </c>
      <c r="N22" s="3">
        <f t="shared" si="1"/>
        <v>11.666666666666666</v>
      </c>
      <c r="O22" s="27" t="s">
        <v>40</v>
      </c>
      <c r="P22" s="27" t="s">
        <v>46</v>
      </c>
      <c r="Q22" s="28">
        <f>(1.27-0.302+(0.757-0.227))*(1.018-0.047)</f>
        <v>1.454558</v>
      </c>
      <c r="R22" s="35">
        <v>3</v>
      </c>
      <c r="S22" s="19">
        <f t="shared" si="5"/>
        <v>4.3636739999999996</v>
      </c>
      <c r="T22" s="1" t="s">
        <v>10</v>
      </c>
      <c r="U22" s="30" t="s">
        <v>83</v>
      </c>
      <c r="V22" s="31">
        <v>70</v>
      </c>
      <c r="W22" s="1">
        <v>-25</v>
      </c>
      <c r="X22" s="3">
        <v>12</v>
      </c>
      <c r="Y22" s="6">
        <v>4</v>
      </c>
      <c r="Z22" s="6">
        <v>4.8</v>
      </c>
      <c r="AA22" s="6">
        <v>1.25</v>
      </c>
      <c r="AB22" s="5">
        <f t="shared" si="2"/>
        <v>104.16666666666667</v>
      </c>
      <c r="AC22" s="3">
        <v>12</v>
      </c>
      <c r="AD22" s="3">
        <v>12</v>
      </c>
      <c r="AE22" s="3">
        <v>2.98</v>
      </c>
      <c r="AF22" s="3">
        <f t="shared" si="6"/>
        <v>4.026845637583893</v>
      </c>
      <c r="AG22" s="3">
        <f t="shared" si="7"/>
        <v>4.026845637583893</v>
      </c>
    </row>
    <row r="23" spans="1:33" ht="30" customHeight="1" x14ac:dyDescent="0.4">
      <c r="A23" s="17">
        <v>21</v>
      </c>
      <c r="B23" s="22" t="s">
        <v>57</v>
      </c>
      <c r="C23" s="3">
        <v>14.6</v>
      </c>
      <c r="D23" s="6">
        <v>4.8499999999999996</v>
      </c>
      <c r="E23" s="5">
        <f t="shared" si="3"/>
        <v>191</v>
      </c>
      <c r="F23" s="3">
        <v>13.5</v>
      </c>
      <c r="G23" s="6">
        <v>3.8</v>
      </c>
      <c r="H23" s="5">
        <f t="shared" si="4"/>
        <v>149</v>
      </c>
      <c r="I23" s="1">
        <v>72</v>
      </c>
      <c r="J23" s="1">
        <v>62</v>
      </c>
      <c r="K23" s="6">
        <f>1.105*0.49*1.44</f>
        <v>0.77968799999999994</v>
      </c>
      <c r="L23" s="5">
        <f t="shared" si="0"/>
        <v>53.403287671232874</v>
      </c>
      <c r="M23" s="1">
        <f>188-(175-164)</f>
        <v>177</v>
      </c>
      <c r="N23" s="3">
        <f t="shared" si="1"/>
        <v>12.123287671232877</v>
      </c>
      <c r="O23" s="27" t="s">
        <v>40</v>
      </c>
      <c r="P23" s="27" t="s">
        <v>46</v>
      </c>
      <c r="Q23" s="28">
        <f>1.386*(0.75+0.262)</f>
        <v>1.4026319999999999</v>
      </c>
      <c r="S23" s="19"/>
      <c r="T23" s="1" t="s">
        <v>20</v>
      </c>
      <c r="U23" s="33" t="s">
        <v>70</v>
      </c>
      <c r="V23" s="31">
        <v>68</v>
      </c>
      <c r="W23" s="1">
        <v>-20</v>
      </c>
      <c r="X23" s="3">
        <v>12.9</v>
      </c>
      <c r="Y23" s="6">
        <v>5.37</v>
      </c>
      <c r="Z23" s="6">
        <v>5.0199999999999996</v>
      </c>
      <c r="AA23" s="6">
        <v>1.27</v>
      </c>
      <c r="AB23" s="5">
        <f t="shared" si="2"/>
        <v>86.986301369863014</v>
      </c>
      <c r="AC23" s="42">
        <v>12.94</v>
      </c>
      <c r="AD23" s="42">
        <v>12.22</v>
      </c>
      <c r="AE23" s="39">
        <v>7.17</v>
      </c>
      <c r="AF23" s="3">
        <f t="shared" si="6"/>
        <v>1.804741980474198</v>
      </c>
      <c r="AG23" s="3">
        <f t="shared" si="7"/>
        <v>1.7043235704323572</v>
      </c>
    </row>
    <row r="24" spans="1:33" ht="15" customHeight="1" x14ac:dyDescent="0.4">
      <c r="A24" s="17">
        <v>22</v>
      </c>
      <c r="B24" s="2" t="s">
        <v>6</v>
      </c>
      <c r="C24" s="3">
        <v>12</v>
      </c>
      <c r="D24" s="6">
        <v>4.7300000000000004</v>
      </c>
      <c r="E24" s="5">
        <f t="shared" si="3"/>
        <v>186.20000000000005</v>
      </c>
      <c r="F24" s="3">
        <v>12</v>
      </c>
      <c r="G24" s="6">
        <v>3.65</v>
      </c>
      <c r="H24" s="5">
        <f t="shared" si="4"/>
        <v>143</v>
      </c>
      <c r="I24" s="1">
        <v>59</v>
      </c>
      <c r="J24" s="1">
        <v>53</v>
      </c>
      <c r="K24" s="6">
        <f>1.52*1.2*0.43</f>
        <v>0.78431999999999991</v>
      </c>
      <c r="L24" s="5">
        <f t="shared" si="0"/>
        <v>65.359999999999985</v>
      </c>
      <c r="M24" s="1">
        <v>163</v>
      </c>
      <c r="N24" s="3">
        <f t="shared" si="1"/>
        <v>13.583333333333334</v>
      </c>
      <c r="O24" s="27" t="s">
        <v>40</v>
      </c>
      <c r="P24" s="27" t="s">
        <v>46</v>
      </c>
      <c r="Q24" s="6">
        <f>1.4732*0.9027</f>
        <v>1.32985764</v>
      </c>
      <c r="R24" s="45">
        <v>2</v>
      </c>
      <c r="S24" s="19">
        <f t="shared" si="5"/>
        <v>2.6597152799999999</v>
      </c>
      <c r="T24" s="1" t="s">
        <v>10</v>
      </c>
      <c r="U24" s="31" t="s">
        <v>71</v>
      </c>
      <c r="V24" s="31">
        <v>75</v>
      </c>
      <c r="W24" s="1">
        <v>-28</v>
      </c>
      <c r="X24" s="3">
        <v>12</v>
      </c>
      <c r="Y24" s="6">
        <v>5.26</v>
      </c>
      <c r="Z24" s="6"/>
      <c r="AA24" s="6">
        <v>1.78</v>
      </c>
      <c r="AB24" s="5">
        <f t="shared" si="2"/>
        <v>148.33333333333334</v>
      </c>
      <c r="AC24" s="39">
        <v>12</v>
      </c>
      <c r="AD24" s="39">
        <v>12</v>
      </c>
      <c r="AE24" s="41">
        <v>4.6100000000000003</v>
      </c>
      <c r="AF24" s="3">
        <f t="shared" ref="AF24:AF27" si="10">AC24/AE24</f>
        <v>2.6030368763557483</v>
      </c>
      <c r="AG24" s="3">
        <f t="shared" ref="AG24:AG27" si="11">AD24/AE24</f>
        <v>2.6030368763557483</v>
      </c>
    </row>
    <row r="25" spans="1:33" ht="30" customHeight="1" x14ac:dyDescent="0.4">
      <c r="A25" s="17">
        <v>23</v>
      </c>
      <c r="B25" s="22" t="s">
        <v>58</v>
      </c>
      <c r="C25" s="3">
        <v>12</v>
      </c>
      <c r="D25" s="6">
        <v>4.6749999999999998</v>
      </c>
      <c r="E25" s="5">
        <f t="shared" si="3"/>
        <v>184</v>
      </c>
      <c r="F25" s="3">
        <v>12</v>
      </c>
      <c r="G25" s="6">
        <v>3.5</v>
      </c>
      <c r="H25" s="5">
        <f t="shared" si="4"/>
        <v>137</v>
      </c>
      <c r="I25" s="1">
        <v>60</v>
      </c>
      <c r="J25" s="1">
        <v>45</v>
      </c>
      <c r="K25" s="6">
        <f>1.35*1.1*0.54</f>
        <v>0.80190000000000028</v>
      </c>
      <c r="L25" s="5">
        <f t="shared" si="0"/>
        <v>66.825000000000017</v>
      </c>
      <c r="M25" s="1">
        <v>212</v>
      </c>
      <c r="N25" s="3">
        <f t="shared" si="1"/>
        <v>17.666666666666668</v>
      </c>
      <c r="O25" s="27" t="s">
        <v>41</v>
      </c>
      <c r="P25" s="27" t="s">
        <v>46</v>
      </c>
      <c r="Q25" s="28">
        <f>0.908*0.925</f>
        <v>0.83990000000000009</v>
      </c>
      <c r="R25" s="35">
        <v>5</v>
      </c>
      <c r="S25" s="19">
        <f t="shared" si="5"/>
        <v>4.1995000000000005</v>
      </c>
      <c r="T25" s="1" t="s">
        <v>20</v>
      </c>
      <c r="U25" s="33" t="s">
        <v>70</v>
      </c>
      <c r="V25" s="31">
        <v>65</v>
      </c>
      <c r="W25" s="32">
        <v>-22</v>
      </c>
      <c r="X25" s="3">
        <v>6.16</v>
      </c>
      <c r="Y25" s="6">
        <v>3.79</v>
      </c>
      <c r="Z25" s="6"/>
      <c r="AA25" s="6">
        <v>1.6</v>
      </c>
      <c r="AB25" s="5">
        <f t="shared" si="2"/>
        <v>133.33333333333334</v>
      </c>
      <c r="AC25" s="41">
        <v>10.86</v>
      </c>
      <c r="AD25" s="39">
        <v>11.56</v>
      </c>
      <c r="AE25" s="41">
        <v>2.13</v>
      </c>
      <c r="AF25" s="3">
        <f t="shared" si="10"/>
        <v>5.098591549295775</v>
      </c>
      <c r="AG25" s="3">
        <f t="shared" si="11"/>
        <v>5.427230046948357</v>
      </c>
    </row>
    <row r="26" spans="1:33" ht="15" customHeight="1" x14ac:dyDescent="0.4">
      <c r="A26" s="17">
        <v>24</v>
      </c>
      <c r="B26" s="2" t="s">
        <v>28</v>
      </c>
      <c r="C26" s="3">
        <v>13</v>
      </c>
      <c r="D26" s="6">
        <v>4.55</v>
      </c>
      <c r="E26" s="5">
        <f t="shared" si="3"/>
        <v>179</v>
      </c>
      <c r="F26" s="3">
        <v>14</v>
      </c>
      <c r="G26" s="6">
        <v>3.35</v>
      </c>
      <c r="H26" s="5">
        <f t="shared" si="4"/>
        <v>131</v>
      </c>
      <c r="I26" s="1">
        <v>63</v>
      </c>
      <c r="J26" s="1">
        <v>54</v>
      </c>
      <c r="K26" s="6">
        <f>1.14*1.22*0.43</f>
        <v>0.59804399999999991</v>
      </c>
      <c r="L26" s="5">
        <f t="shared" si="0"/>
        <v>46.003384615384604</v>
      </c>
      <c r="M26" s="1">
        <v>130</v>
      </c>
      <c r="N26" s="3">
        <f t="shared" si="1"/>
        <v>10</v>
      </c>
      <c r="O26" s="27" t="s">
        <v>73</v>
      </c>
      <c r="P26" s="27" t="s">
        <v>46</v>
      </c>
      <c r="Q26" s="6">
        <v>1.1399999999999999</v>
      </c>
      <c r="R26" s="45">
        <v>3</v>
      </c>
      <c r="S26" s="19">
        <f t="shared" si="5"/>
        <v>3.42</v>
      </c>
      <c r="T26" s="1" t="s">
        <v>20</v>
      </c>
      <c r="U26" s="31"/>
      <c r="V26" s="31">
        <v>70</v>
      </c>
      <c r="W26" s="1">
        <v>-25</v>
      </c>
      <c r="X26" s="3">
        <v>14</v>
      </c>
      <c r="Y26" s="6">
        <v>3.35</v>
      </c>
      <c r="Z26" s="6">
        <v>5.86</v>
      </c>
      <c r="AA26" s="6">
        <v>1.2</v>
      </c>
      <c r="AB26" s="5">
        <f t="shared" si="2"/>
        <v>92.307692307692307</v>
      </c>
      <c r="AC26" s="3">
        <v>12.96</v>
      </c>
      <c r="AD26" s="39">
        <v>13.5</v>
      </c>
      <c r="AE26" s="42">
        <v>5</v>
      </c>
      <c r="AF26" s="3">
        <f t="shared" si="10"/>
        <v>2.5920000000000001</v>
      </c>
      <c r="AG26" s="3">
        <f t="shared" si="11"/>
        <v>2.7</v>
      </c>
    </row>
    <row r="27" spans="1:33" ht="15" customHeight="1" x14ac:dyDescent="0.4">
      <c r="A27" s="17">
        <v>25</v>
      </c>
      <c r="B27" s="2" t="s">
        <v>19</v>
      </c>
      <c r="C27" s="3">
        <v>11.9</v>
      </c>
      <c r="D27" s="6">
        <v>4.5</v>
      </c>
      <c r="E27" s="5">
        <f t="shared" si="3"/>
        <v>177</v>
      </c>
      <c r="F27" s="3">
        <v>12.6</v>
      </c>
      <c r="G27" s="6">
        <v>3.625</v>
      </c>
      <c r="H27" s="5">
        <f t="shared" si="4"/>
        <v>142.00000000000003</v>
      </c>
      <c r="I27" s="1">
        <v>59</v>
      </c>
      <c r="J27" s="1">
        <v>53</v>
      </c>
      <c r="K27" s="6">
        <f>1.022*0.674*1.365</f>
        <v>0.94025022000000014</v>
      </c>
      <c r="L27" s="5">
        <f t="shared" si="0"/>
        <v>79.012623529411769</v>
      </c>
      <c r="M27" s="1">
        <v>172</v>
      </c>
      <c r="N27" s="3">
        <f t="shared" si="1"/>
        <v>14.453781512605042</v>
      </c>
      <c r="O27" s="27" t="s">
        <v>40</v>
      </c>
      <c r="P27" s="27" t="s">
        <v>46</v>
      </c>
      <c r="Q27" s="28">
        <f>0.871*(0.774+0.318)</f>
        <v>0.95113200000000009</v>
      </c>
      <c r="R27" s="29"/>
      <c r="S27" s="19"/>
      <c r="T27" s="32" t="s">
        <v>10</v>
      </c>
      <c r="U27" s="31"/>
      <c r="V27" s="31">
        <v>70</v>
      </c>
      <c r="W27" s="1">
        <v>-20</v>
      </c>
      <c r="X27" s="3"/>
      <c r="Y27" s="6"/>
      <c r="Z27" s="6"/>
      <c r="AA27" s="6">
        <v>0.86</v>
      </c>
      <c r="AB27" s="5">
        <f t="shared" si="2"/>
        <v>72.268907563025209</v>
      </c>
      <c r="AC27" s="42">
        <v>10.5</v>
      </c>
      <c r="AD27" s="42">
        <v>11</v>
      </c>
      <c r="AE27" s="42">
        <v>4.3</v>
      </c>
      <c r="AF27" s="3">
        <f t="shared" si="10"/>
        <v>2.441860465116279</v>
      </c>
      <c r="AG27" s="3">
        <f t="shared" si="11"/>
        <v>2.558139534883721</v>
      </c>
    </row>
    <row r="28" spans="1:33" ht="6.65" customHeight="1" x14ac:dyDescent="0.4">
      <c r="A28" s="2"/>
      <c r="C28" s="20"/>
      <c r="D28" s="46"/>
      <c r="E28" s="46"/>
      <c r="F28" s="20"/>
      <c r="G28" s="46"/>
      <c r="H28" s="46"/>
      <c r="I28" s="20"/>
      <c r="J28" s="48"/>
      <c r="K28" s="20"/>
      <c r="L28" s="20"/>
      <c r="M28" s="20"/>
      <c r="N28" s="20"/>
      <c r="O28" s="49"/>
      <c r="P28" s="49"/>
      <c r="Q28" s="49"/>
      <c r="R28" s="49"/>
      <c r="S28" s="49"/>
      <c r="T28" s="49"/>
      <c r="U28" s="20"/>
      <c r="V28" s="20"/>
      <c r="W28" s="20"/>
      <c r="X28" s="47"/>
      <c r="Y28" s="47"/>
      <c r="Z28" s="47"/>
      <c r="AA28" s="49"/>
      <c r="AB28" s="49"/>
      <c r="AC28" s="47"/>
      <c r="AD28" s="47"/>
      <c r="AE28" s="47"/>
      <c r="AF28" s="47"/>
      <c r="AG28" s="47"/>
    </row>
    <row r="29" spans="1:33" ht="15" thickBot="1" x14ac:dyDescent="0.45">
      <c r="A29" s="13"/>
      <c r="B29" s="12" t="s">
        <v>90</v>
      </c>
      <c r="C29" s="57" t="s">
        <v>29</v>
      </c>
      <c r="D29" s="58"/>
      <c r="E29" s="58"/>
      <c r="F29" s="58"/>
      <c r="G29" s="58"/>
      <c r="H29" s="59"/>
      <c r="I29" s="60" t="s">
        <v>91</v>
      </c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</row>
    <row r="30" spans="1:33" ht="15" thickTop="1" x14ac:dyDescent="0.4">
      <c r="B30" s="10" t="s">
        <v>22</v>
      </c>
      <c r="C30" s="3">
        <f t="shared" ref="C30:AG30" si="12">MIN(C3:C27)</f>
        <v>11.6</v>
      </c>
      <c r="D30" s="6">
        <f t="shared" si="12"/>
        <v>4.5</v>
      </c>
      <c r="E30" s="5">
        <f t="shared" si="12"/>
        <v>177</v>
      </c>
      <c r="F30" s="3">
        <f t="shared" si="12"/>
        <v>11</v>
      </c>
      <c r="G30" s="6">
        <f t="shared" si="12"/>
        <v>3.35</v>
      </c>
      <c r="H30" s="5">
        <f t="shared" si="12"/>
        <v>131</v>
      </c>
      <c r="I30" s="3">
        <f t="shared" ref="I30:N30" si="13">MIN(I3:I27)</f>
        <v>53</v>
      </c>
      <c r="J30" s="3">
        <f t="shared" si="13"/>
        <v>41</v>
      </c>
      <c r="K30" s="6">
        <f t="shared" si="13"/>
        <v>0.59804399999999991</v>
      </c>
      <c r="L30" s="5">
        <f t="shared" si="13"/>
        <v>46.003384615384604</v>
      </c>
      <c r="M30" s="5">
        <f t="shared" si="13"/>
        <v>130</v>
      </c>
      <c r="N30" s="3">
        <f t="shared" si="13"/>
        <v>10</v>
      </c>
      <c r="Q30" s="6">
        <f>MIN(Q3:Q27)</f>
        <v>0.614676</v>
      </c>
      <c r="R30" s="3">
        <f>MIN(R3:R27)</f>
        <v>2</v>
      </c>
      <c r="S30" s="19">
        <f>MIN(S3:S27)</f>
        <v>2.0086000000000004</v>
      </c>
      <c r="V30" s="3">
        <f t="shared" ref="V30:AB30" si="14">MIN(V3:V27)</f>
        <v>65</v>
      </c>
      <c r="W30" s="3">
        <f t="shared" si="14"/>
        <v>-30</v>
      </c>
      <c r="X30" s="3">
        <f t="shared" si="14"/>
        <v>5.81</v>
      </c>
      <c r="Y30" s="6">
        <f t="shared" si="14"/>
        <v>3.35</v>
      </c>
      <c r="Z30" s="6">
        <f t="shared" si="14"/>
        <v>4.7</v>
      </c>
      <c r="AA30" s="6">
        <f t="shared" si="14"/>
        <v>0.86</v>
      </c>
      <c r="AB30" s="5">
        <f t="shared" si="14"/>
        <v>72.268907563025209</v>
      </c>
      <c r="AC30" s="3">
        <f t="shared" si="12"/>
        <v>7.89</v>
      </c>
      <c r="AD30" s="3">
        <f t="shared" si="12"/>
        <v>9.0500000000000007</v>
      </c>
      <c r="AE30" s="3">
        <f t="shared" si="12"/>
        <v>2.13</v>
      </c>
      <c r="AF30" s="6">
        <f t="shared" si="12"/>
        <v>1.6610526315789473</v>
      </c>
      <c r="AG30" s="6">
        <f t="shared" si="12"/>
        <v>1.7043235704323572</v>
      </c>
    </row>
    <row r="31" spans="1:33" x14ac:dyDescent="0.4">
      <c r="B31" s="14" t="s">
        <v>23</v>
      </c>
      <c r="C31" s="16">
        <f t="shared" ref="C31:AG31" si="15">AVERAGE(C3:C27)</f>
        <v>13.3</v>
      </c>
      <c r="D31" s="8">
        <f t="shared" si="15"/>
        <v>5.1475999999999997</v>
      </c>
      <c r="E31" s="15">
        <f t="shared" si="15"/>
        <v>202.90400000000002</v>
      </c>
      <c r="F31" s="16">
        <f t="shared" si="15"/>
        <v>13.408000000000001</v>
      </c>
      <c r="G31" s="8">
        <f t="shared" si="15"/>
        <v>3.9624000000000001</v>
      </c>
      <c r="H31" s="15">
        <f t="shared" si="15"/>
        <v>155.49600000000001</v>
      </c>
      <c r="I31" s="16">
        <f t="shared" ref="I31:N31" si="16">AVERAGE(I3:I27)</f>
        <v>60.42</v>
      </c>
      <c r="J31" s="16">
        <f t="shared" si="16"/>
        <v>51.36</v>
      </c>
      <c r="K31" s="8">
        <f t="shared" si="16"/>
        <v>1.0722214429200001</v>
      </c>
      <c r="L31" s="15">
        <f t="shared" si="16"/>
        <v>80.608562309155474</v>
      </c>
      <c r="M31" s="15">
        <f t="shared" si="16"/>
        <v>209.92</v>
      </c>
      <c r="N31" s="16">
        <f t="shared" si="16"/>
        <v>15.797266626697731</v>
      </c>
      <c r="Q31" s="8">
        <f>AVERAGE(Q3:Q27)</f>
        <v>1.2230542766666668</v>
      </c>
      <c r="R31" s="16">
        <f>AVERAGE(R3:R27)</f>
        <v>3.6470588235294117</v>
      </c>
      <c r="S31" s="8">
        <f>AVERAGE(S3:S27)</f>
        <v>4.3765844870588237</v>
      </c>
      <c r="V31" s="16">
        <f t="shared" ref="V31:AB31" si="17">AVERAGE(V3:V27)</f>
        <v>71</v>
      </c>
      <c r="W31" s="16">
        <f t="shared" si="17"/>
        <v>-23.76</v>
      </c>
      <c r="X31" s="16">
        <f t="shared" si="17"/>
        <v>11.206521739130435</v>
      </c>
      <c r="Y31" s="8">
        <f t="shared" si="17"/>
        <v>4.7231818181818177</v>
      </c>
      <c r="Z31" s="8">
        <f t="shared" si="17"/>
        <v>5.6719999999999997</v>
      </c>
      <c r="AA31" s="8">
        <f t="shared" si="17"/>
        <v>1.9244000000000003</v>
      </c>
      <c r="AB31" s="15">
        <f t="shared" si="17"/>
        <v>142.78934721818473</v>
      </c>
      <c r="AC31" s="16">
        <f t="shared" si="15"/>
        <v>12.462600000000002</v>
      </c>
      <c r="AD31" s="16">
        <f t="shared" si="15"/>
        <v>13.278440000000003</v>
      </c>
      <c r="AE31" s="16">
        <f t="shared" si="15"/>
        <v>4.6212000000000009</v>
      </c>
      <c r="AF31" s="8">
        <f t="shared" si="15"/>
        <v>2.8625148023060252</v>
      </c>
      <c r="AG31" s="8">
        <f t="shared" si="15"/>
        <v>3.0537638845016879</v>
      </c>
    </row>
    <row r="32" spans="1:33" x14ac:dyDescent="0.4">
      <c r="B32" s="14" t="s">
        <v>38</v>
      </c>
      <c r="C32" s="16">
        <f t="shared" ref="C32:AG32" si="18">MEDIAN(C3:C27)</f>
        <v>13</v>
      </c>
      <c r="D32" s="8">
        <f t="shared" si="18"/>
        <v>5.0999999999999996</v>
      </c>
      <c r="E32" s="15">
        <f t="shared" si="18"/>
        <v>201</v>
      </c>
      <c r="F32" s="16">
        <f t="shared" si="18"/>
        <v>13.5</v>
      </c>
      <c r="G32" s="8">
        <f t="shared" si="18"/>
        <v>3.95</v>
      </c>
      <c r="H32" s="15">
        <f t="shared" si="18"/>
        <v>155</v>
      </c>
      <c r="I32" s="16">
        <f t="shared" ref="I32:N32" si="19">MEDIAN(I3:I27)</f>
        <v>60</v>
      </c>
      <c r="J32" s="16">
        <f t="shared" si="19"/>
        <v>52</v>
      </c>
      <c r="K32" s="8">
        <f t="shared" si="19"/>
        <v>0.97307495999999993</v>
      </c>
      <c r="L32" s="15">
        <f t="shared" si="19"/>
        <v>76.268123875000015</v>
      </c>
      <c r="M32" s="15">
        <f t="shared" si="19"/>
        <v>205</v>
      </c>
      <c r="N32" s="16">
        <f t="shared" si="19"/>
        <v>15.083333333333334</v>
      </c>
      <c r="Q32" s="8">
        <f>MEDIAN(Q3:Q27)</f>
        <v>1.2240005</v>
      </c>
      <c r="R32" s="16">
        <f>MEDIAN(R3:R27)</f>
        <v>3</v>
      </c>
      <c r="S32" s="8">
        <f>MEDIAN(S3:S27)</f>
        <v>4.1997960000000001</v>
      </c>
      <c r="V32" s="16">
        <f t="shared" ref="V32:AB32" si="20">MEDIAN(V3:V27)</f>
        <v>70</v>
      </c>
      <c r="W32" s="16">
        <f t="shared" si="20"/>
        <v>-25</v>
      </c>
      <c r="X32" s="16">
        <f t="shared" si="20"/>
        <v>12</v>
      </c>
      <c r="Y32" s="8">
        <f t="shared" si="20"/>
        <v>4.6500000000000004</v>
      </c>
      <c r="Z32" s="8">
        <f t="shared" si="20"/>
        <v>5.3949999999999996</v>
      </c>
      <c r="AA32" s="8">
        <f t="shared" si="20"/>
        <v>1.6</v>
      </c>
      <c r="AB32" s="15">
        <f t="shared" si="20"/>
        <v>123.96694214876034</v>
      </c>
      <c r="AC32" s="16">
        <f t="shared" si="18"/>
        <v>12.54</v>
      </c>
      <c r="AD32" s="16">
        <f t="shared" si="18"/>
        <v>13.24</v>
      </c>
      <c r="AE32" s="16">
        <f t="shared" si="18"/>
        <v>4.75</v>
      </c>
      <c r="AF32" s="8">
        <f t="shared" si="18"/>
        <v>2.6030368763557483</v>
      </c>
      <c r="AG32" s="8">
        <f t="shared" si="18"/>
        <v>2.7289972899729</v>
      </c>
    </row>
    <row r="33" spans="2:33" x14ac:dyDescent="0.4">
      <c r="B33" s="10" t="s">
        <v>24</v>
      </c>
      <c r="C33" s="3">
        <f t="shared" ref="C33:AG33" si="21">MAX(C3:C27)</f>
        <v>16</v>
      </c>
      <c r="D33" s="6">
        <f t="shared" si="21"/>
        <v>5.9</v>
      </c>
      <c r="E33" s="5">
        <f t="shared" si="21"/>
        <v>233.00000000000003</v>
      </c>
      <c r="F33" s="3">
        <f t="shared" si="21"/>
        <v>16.2</v>
      </c>
      <c r="G33" s="6">
        <f t="shared" si="21"/>
        <v>4.4800000000000004</v>
      </c>
      <c r="H33" s="5">
        <f t="shared" si="21"/>
        <v>176.20000000000002</v>
      </c>
      <c r="I33" s="3">
        <f t="shared" ref="I33:N33" si="22">MAX(I3:I27)</f>
        <v>72</v>
      </c>
      <c r="J33" s="3">
        <f t="shared" si="22"/>
        <v>62</v>
      </c>
      <c r="K33" s="6">
        <f t="shared" si="22"/>
        <v>1.9260200000000003</v>
      </c>
      <c r="L33" s="5">
        <f t="shared" si="22"/>
        <v>149.42025000000001</v>
      </c>
      <c r="M33" s="5">
        <f t="shared" si="22"/>
        <v>345</v>
      </c>
      <c r="N33" s="3">
        <f t="shared" si="22"/>
        <v>24.642857142857142</v>
      </c>
      <c r="Q33" s="6">
        <f>MAX(Q3:Q27)</f>
        <v>2.1849999999999996</v>
      </c>
      <c r="R33" s="3">
        <f>MAX(R3:R27)</f>
        <v>7</v>
      </c>
      <c r="S33" s="19">
        <f>MAX(S3:S27)</f>
        <v>6.5549999999999988</v>
      </c>
      <c r="V33" s="3">
        <f t="shared" ref="V33:AB33" si="23">MAX(V3:V27)</f>
        <v>80</v>
      </c>
      <c r="W33" s="3">
        <f t="shared" si="23"/>
        <v>-20</v>
      </c>
      <c r="X33" s="3">
        <f t="shared" si="23"/>
        <v>15.1</v>
      </c>
      <c r="Y33" s="6">
        <f t="shared" si="23"/>
        <v>6.02</v>
      </c>
      <c r="Z33" s="6">
        <f t="shared" si="23"/>
        <v>7.03</v>
      </c>
      <c r="AA33" s="6">
        <f t="shared" si="23"/>
        <v>4</v>
      </c>
      <c r="AB33" s="5">
        <f t="shared" si="23"/>
        <v>271.42857142857144</v>
      </c>
      <c r="AC33" s="3">
        <f t="shared" si="21"/>
        <v>19.84</v>
      </c>
      <c r="AD33" s="3">
        <f t="shared" si="21"/>
        <v>19.71</v>
      </c>
      <c r="AE33" s="3">
        <f t="shared" si="21"/>
        <v>7.17</v>
      </c>
      <c r="AF33" s="6">
        <f t="shared" si="21"/>
        <v>5.098591549295775</v>
      </c>
      <c r="AG33" s="6">
        <f t="shared" si="21"/>
        <v>5.427230046948357</v>
      </c>
    </row>
    <row r="37" spans="2:33" x14ac:dyDescent="0.4">
      <c r="B37" s="11" t="s">
        <v>25</v>
      </c>
    </row>
    <row r="38" spans="2:33" ht="6.65" customHeight="1" x14ac:dyDescent="0.4"/>
    <row r="39" spans="2:33" x14ac:dyDescent="0.4">
      <c r="B39" s="2" t="s">
        <v>56</v>
      </c>
    </row>
    <row r="42" spans="2:33" x14ac:dyDescent="0.4">
      <c r="C42" s="9"/>
    </row>
    <row r="43" spans="2:33" x14ac:dyDescent="0.4">
      <c r="B43" s="9"/>
      <c r="K43" s="9"/>
      <c r="L43" s="9"/>
      <c r="M43" s="9"/>
    </row>
    <row r="44" spans="2:33" x14ac:dyDescent="0.4">
      <c r="B44" s="9"/>
      <c r="K44" s="9"/>
      <c r="L44" s="9"/>
      <c r="M44" s="9"/>
    </row>
    <row r="45" spans="2:33" x14ac:dyDescent="0.4">
      <c r="K45" s="9"/>
      <c r="L45" s="9"/>
      <c r="M45" s="9"/>
    </row>
    <row r="46" spans="2:33" x14ac:dyDescent="0.4">
      <c r="K46" s="9"/>
      <c r="L46" s="9"/>
      <c r="M46" s="9"/>
    </row>
    <row r="47" spans="2:33" x14ac:dyDescent="0.4">
      <c r="K47" s="9"/>
      <c r="L47" s="9"/>
      <c r="M47" s="9"/>
    </row>
    <row r="48" spans="2:33" x14ac:dyDescent="0.4">
      <c r="K48" s="9"/>
      <c r="L48" s="9"/>
      <c r="M48" s="9"/>
    </row>
    <row r="49" spans="11:13" x14ac:dyDescent="0.4">
      <c r="K49" s="9"/>
      <c r="L49" s="9"/>
      <c r="M49" s="9"/>
    </row>
    <row r="50" spans="11:13" x14ac:dyDescent="0.4">
      <c r="K50" s="9"/>
      <c r="L50" s="9"/>
      <c r="M50" s="9"/>
    </row>
    <row r="51" spans="11:13" x14ac:dyDescent="0.4">
      <c r="K51" s="9"/>
      <c r="L51" s="9"/>
      <c r="M51" s="9"/>
    </row>
    <row r="52" spans="11:13" x14ac:dyDescent="0.4">
      <c r="K52" s="9"/>
      <c r="L52" s="9"/>
      <c r="M52" s="9"/>
    </row>
    <row r="53" spans="11:13" x14ac:dyDescent="0.4">
      <c r="K53" s="9"/>
      <c r="L53" s="9"/>
      <c r="M53" s="9"/>
    </row>
    <row r="54" spans="11:13" x14ac:dyDescent="0.4">
      <c r="K54" s="9"/>
      <c r="L54" s="9"/>
      <c r="M54" s="9"/>
    </row>
    <row r="55" spans="11:13" x14ac:dyDescent="0.4">
      <c r="K55" s="9"/>
      <c r="L55" s="9"/>
      <c r="M55" s="9"/>
    </row>
    <row r="56" spans="11:13" x14ac:dyDescent="0.4">
      <c r="K56" s="9"/>
      <c r="L56" s="9"/>
      <c r="M56" s="9"/>
    </row>
    <row r="57" spans="11:13" x14ac:dyDescent="0.4">
      <c r="K57" s="9"/>
      <c r="L57" s="9"/>
      <c r="M57" s="9"/>
    </row>
    <row r="58" spans="11:13" x14ac:dyDescent="0.4">
      <c r="K58" s="9"/>
      <c r="L58" s="9"/>
      <c r="M58" s="9"/>
    </row>
    <row r="59" spans="11:13" x14ac:dyDescent="0.4">
      <c r="K59" s="9"/>
      <c r="L59" s="9"/>
      <c r="M59" s="9"/>
    </row>
    <row r="60" spans="11:13" x14ac:dyDescent="0.4">
      <c r="K60" s="9"/>
      <c r="L60" s="9"/>
      <c r="M60" s="9"/>
    </row>
    <row r="61" spans="11:13" x14ac:dyDescent="0.4">
      <c r="K61" s="9"/>
      <c r="L61" s="9"/>
      <c r="M61" s="9"/>
    </row>
    <row r="62" spans="11:13" x14ac:dyDescent="0.4">
      <c r="K62" s="9"/>
      <c r="L62" s="9"/>
      <c r="M62" s="9"/>
    </row>
    <row r="63" spans="11:13" x14ac:dyDescent="0.4">
      <c r="K63" s="9"/>
      <c r="L63" s="9"/>
      <c r="M63" s="9"/>
    </row>
    <row r="64" spans="11:13" x14ac:dyDescent="0.4">
      <c r="K64" s="9"/>
      <c r="L64" s="9"/>
      <c r="M64" s="9"/>
    </row>
    <row r="65" spans="11:13" x14ac:dyDescent="0.4">
      <c r="K65" s="9"/>
      <c r="L65" s="9"/>
      <c r="M65" s="9"/>
    </row>
    <row r="66" spans="11:13" x14ac:dyDescent="0.4">
      <c r="K66" s="9"/>
      <c r="L66" s="9"/>
      <c r="M66" s="9"/>
    </row>
    <row r="67" spans="11:13" x14ac:dyDescent="0.4">
      <c r="K67" s="9"/>
      <c r="L67" s="9"/>
      <c r="M67" s="9"/>
    </row>
    <row r="68" spans="11:13" x14ac:dyDescent="0.4">
      <c r="K68" s="9"/>
      <c r="L68" s="9"/>
      <c r="M68" s="9"/>
    </row>
    <row r="69" spans="11:13" x14ac:dyDescent="0.4">
      <c r="K69" s="9"/>
      <c r="L69" s="9"/>
      <c r="M69" s="9"/>
    </row>
    <row r="70" spans="11:13" x14ac:dyDescent="0.4">
      <c r="K70" s="9"/>
      <c r="L70" s="9"/>
      <c r="M70" s="9"/>
    </row>
    <row r="71" spans="11:13" x14ac:dyDescent="0.4">
      <c r="K71" s="9"/>
      <c r="L71" s="9"/>
      <c r="M71" s="9"/>
    </row>
    <row r="72" spans="11:13" x14ac:dyDescent="0.4">
      <c r="K72" s="9"/>
      <c r="L72" s="9"/>
      <c r="M72" s="9"/>
    </row>
    <row r="73" spans="11:13" x14ac:dyDescent="0.4">
      <c r="K73" s="9"/>
      <c r="L73" s="9"/>
      <c r="M73" s="9"/>
    </row>
    <row r="74" spans="11:13" x14ac:dyDescent="0.4">
      <c r="K74" s="9"/>
      <c r="L74" s="9"/>
      <c r="M74" s="9"/>
    </row>
    <row r="75" spans="11:13" x14ac:dyDescent="0.4">
      <c r="K75" s="9"/>
      <c r="L75" s="9"/>
      <c r="M75" s="9"/>
    </row>
    <row r="76" spans="11:13" x14ac:dyDescent="0.4">
      <c r="K76" s="9"/>
      <c r="L76" s="9"/>
      <c r="M76" s="9"/>
    </row>
    <row r="77" spans="11:13" x14ac:dyDescent="0.4">
      <c r="K77" s="9"/>
      <c r="L77" s="9"/>
      <c r="M77" s="9"/>
    </row>
    <row r="78" spans="11:13" x14ac:dyDescent="0.4">
      <c r="K78" s="9"/>
      <c r="L78" s="9"/>
      <c r="M78" s="9"/>
    </row>
    <row r="79" spans="11:13" x14ac:dyDescent="0.4">
      <c r="K79" s="9"/>
      <c r="L79" s="9"/>
      <c r="M79" s="9"/>
    </row>
    <row r="80" spans="11:13" x14ac:dyDescent="0.4">
      <c r="K80" s="9"/>
      <c r="L80" s="9"/>
      <c r="M80" s="9"/>
    </row>
    <row r="81" spans="10:13" x14ac:dyDescent="0.4">
      <c r="K81" s="9"/>
      <c r="L81" s="9"/>
      <c r="M81" s="9"/>
    </row>
    <row r="82" spans="10:13" x14ac:dyDescent="0.4">
      <c r="K82" s="9"/>
      <c r="L82" s="9"/>
      <c r="M82" s="9"/>
    </row>
    <row r="83" spans="10:13" x14ac:dyDescent="0.4">
      <c r="K83" s="9"/>
      <c r="L83" s="9"/>
      <c r="M83" s="9"/>
    </row>
    <row r="84" spans="10:13" x14ac:dyDescent="0.4">
      <c r="K84" s="9"/>
      <c r="L84" s="9"/>
      <c r="M84" s="9"/>
    </row>
    <row r="85" spans="10:13" x14ac:dyDescent="0.4">
      <c r="K85" s="9"/>
      <c r="L85" s="9"/>
      <c r="M85" s="9"/>
    </row>
    <row r="86" spans="10:13" x14ac:dyDescent="0.4">
      <c r="K86" s="9"/>
      <c r="L86" s="9"/>
      <c r="M86" s="9"/>
    </row>
    <row r="87" spans="10:13" x14ac:dyDescent="0.4">
      <c r="K87" s="9"/>
      <c r="L87" s="9"/>
      <c r="M87" s="9"/>
    </row>
    <row r="88" spans="10:13" x14ac:dyDescent="0.4">
      <c r="K88" s="9"/>
      <c r="L88" s="9"/>
      <c r="M88" s="9"/>
    </row>
    <row r="89" spans="10:13" x14ac:dyDescent="0.4">
      <c r="K89" s="9"/>
      <c r="L89" s="9"/>
      <c r="M89" s="9"/>
    </row>
    <row r="90" spans="10:13" x14ac:dyDescent="0.4">
      <c r="K90" s="9"/>
      <c r="L90" s="9"/>
      <c r="M90" s="9"/>
    </row>
    <row r="91" spans="10:13" x14ac:dyDescent="0.4">
      <c r="J91" s="1"/>
      <c r="K91" s="9"/>
      <c r="L91" s="9"/>
      <c r="M91" s="9"/>
    </row>
    <row r="92" spans="10:13" x14ac:dyDescent="0.4">
      <c r="K92" s="9"/>
      <c r="L92" s="9"/>
      <c r="M92" s="9"/>
    </row>
    <row r="93" spans="10:13" x14ac:dyDescent="0.4">
      <c r="K93" s="9"/>
      <c r="L93" s="9"/>
      <c r="M93" s="9"/>
    </row>
    <row r="94" spans="10:13" x14ac:dyDescent="0.4">
      <c r="K94" s="9"/>
      <c r="L94" s="9"/>
      <c r="M94" s="9"/>
    </row>
    <row r="95" spans="10:13" x14ac:dyDescent="0.4">
      <c r="K95" s="9"/>
      <c r="L95" s="9"/>
      <c r="M95" s="9"/>
    </row>
    <row r="96" spans="10:13" x14ac:dyDescent="0.4">
      <c r="K96" s="9"/>
      <c r="L96" s="9"/>
      <c r="M96" s="9"/>
    </row>
    <row r="97" spans="11:13" x14ac:dyDescent="0.4">
      <c r="K97" s="9"/>
      <c r="L97" s="9"/>
      <c r="M97" s="9"/>
    </row>
  </sheetData>
  <mergeCells count="10">
    <mergeCell ref="AF1:AG1"/>
    <mergeCell ref="C29:H29"/>
    <mergeCell ref="I29:AG29"/>
    <mergeCell ref="A1:A2"/>
    <mergeCell ref="I1:J1"/>
    <mergeCell ref="K1:L1"/>
    <mergeCell ref="M1:N1"/>
    <mergeCell ref="AA1:AB1"/>
    <mergeCell ref="O1:S1"/>
    <mergeCell ref="U1:U2"/>
  </mergeCells>
  <conditionalFormatting sqref="D3:D27">
    <cfRule type="colorScale" priority="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3:G27">
    <cfRule type="colorScale" priority="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J27">
    <cfRule type="colorScale" priority="33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L3:L27">
    <cfRule type="colorScale" priority="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3:N27">
    <cfRule type="colorScale" priority="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3:Q27"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3:S27">
    <cfRule type="colorScale" priority="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X3:X2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Y3:Y27"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3:Z27">
    <cfRule type="colorScale" priority="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B3:AB27">
    <cfRule type="colorScale" priority="3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F3:AF27"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3:AG27">
    <cfRule type="colorScale" priority="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Schaub, Michael</dc:creator>
  <cp:lastModifiedBy>Schaub, Michael</cp:lastModifiedBy>
  <dcterms:created xsi:type="dcterms:W3CDTF">2025-09-26T12:50:28Z</dcterms:created>
  <dcterms:modified xsi:type="dcterms:W3CDTF">2026-06-10T17:25:53Z</dcterms:modified>
</cp:coreProperties>
</file>